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1.A" sheetId="1" r:id="rId1"/>
    <sheet name="1.B" sheetId="2" r:id="rId2"/>
    <sheet name="2.A" sheetId="3" r:id="rId3"/>
    <sheet name="2.B" sheetId="4" r:id="rId4"/>
    <sheet name="3.A" sheetId="5" r:id="rId5"/>
    <sheet name="3.B" sheetId="6" r:id="rId6"/>
    <sheet name="4.A" sheetId="7" r:id="rId7"/>
    <sheet name="4.B" sheetId="8" r:id="rId8"/>
    <sheet name="5.A" sheetId="9" r:id="rId9"/>
    <sheet name="5.B" sheetId="10" r:id="rId10"/>
    <sheet name="6.A" sheetId="11" r:id="rId11"/>
    <sheet name="7.A" sheetId="12" r:id="rId12"/>
    <sheet name="7.B" sheetId="13" r:id="rId13"/>
    <sheet name="8.A" sheetId="14" r:id="rId14"/>
    <sheet name="8.B" sheetId="15" r:id="rId15"/>
    <sheet name="9.A" sheetId="16" r:id="rId16"/>
    <sheet name="9.B" sheetId="17" r:id="rId17"/>
  </sheets>
  <definedNames/>
  <calcPr fullCalcOnLoad="1"/>
</workbook>
</file>

<file path=xl/sharedStrings.xml><?xml version="1.0" encoding="utf-8"?>
<sst xmlns="http://schemas.openxmlformats.org/spreadsheetml/2006/main" count="987" uniqueCount="469">
  <si>
    <t>1.A</t>
  </si>
  <si>
    <t>Blinková</t>
  </si>
  <si>
    <t>Simona</t>
  </si>
  <si>
    <t>Dostrašil</t>
  </si>
  <si>
    <t>David</t>
  </si>
  <si>
    <t>Folbergerová</t>
  </si>
  <si>
    <t>Helena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</si>
  <si>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</si>
  <si>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</si>
  <si>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</si>
  <si>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</si>
  <si>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</si>
  <si>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</si>
  <si>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</si>
  <si>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</si>
  <si>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</si>
  <si>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</si>
  <si>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</si>
  <si>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</si>
  <si>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</si>
  <si>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</si>
  <si>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</si>
  <si>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</si>
  <si>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Tomáš</t>
  </si>
  <si>
    <t>Pohanková</t>
  </si>
  <si>
    <t>Petra</t>
  </si>
  <si>
    <t>Procházková</t>
  </si>
  <si>
    <t>Bára</t>
  </si>
  <si>
    <t>Stibor</t>
  </si>
  <si>
    <t>Jindřich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</si>
  <si>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</si>
  <si>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</si>
  <si>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</si>
  <si>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</si>
  <si>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</si>
  <si>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</si>
  <si>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</si>
  <si>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</si>
  <si>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</si>
  <si>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</si>
  <si>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</si>
  <si>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</si>
  <si>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</si>
  <si>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</si>
  <si>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</si>
  <si>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</si>
  <si>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</si>
  <si>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</si>
  <si>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</si>
  <si>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</si>
  <si>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Ledvinková</t>
  </si>
  <si>
    <t>Patricie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</si>
  <si>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</si>
  <si>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</si>
  <si>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</si>
  <si>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</si>
  <si>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</si>
  <si>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</si>
  <si>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</si>
  <si>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</si>
  <si>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</si>
  <si>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</si>
  <si>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</si>
  <si>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</si>
  <si>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</si>
  <si>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</si>
  <si>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Švecová</t>
  </si>
  <si>
    <t>Voháňka</t>
  </si>
  <si>
    <t>2.A</t>
  </si>
  <si>
    <t>Veronika</t>
  </si>
  <si>
    <t>Vojtěch</t>
  </si>
  <si>
    <t>Sabina</t>
  </si>
  <si>
    <t>Nikol</t>
  </si>
  <si>
    <t>Kristýna</t>
  </si>
  <si>
    <t>Krupička</t>
  </si>
  <si>
    <t>Zuzana</t>
  </si>
  <si>
    <t>Polák</t>
  </si>
  <si>
    <t>Petr</t>
  </si>
  <si>
    <t>Lucie</t>
  </si>
  <si>
    <t>Eva</t>
  </si>
  <si>
    <t>2.B</t>
  </si>
  <si>
    <t>Barbora</t>
  </si>
  <si>
    <t>Malina</t>
  </si>
  <si>
    <t>Vít</t>
  </si>
  <si>
    <t>Müller</t>
  </si>
  <si>
    <t>Pavel</t>
  </si>
  <si>
    <t>Martina</t>
  </si>
  <si>
    <t>Dominik</t>
  </si>
  <si>
    <t>Vencová</t>
  </si>
  <si>
    <t>3.A</t>
  </si>
  <si>
    <t>Boboková</t>
  </si>
  <si>
    <t>Hájková</t>
  </si>
  <si>
    <t>Hana</t>
  </si>
  <si>
    <t>Hoffmann</t>
  </si>
  <si>
    <t>Jaček</t>
  </si>
  <si>
    <t>Janečková</t>
  </si>
  <si>
    <t>Jana</t>
  </si>
  <si>
    <t>Kolín</t>
  </si>
  <si>
    <t>Král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</si>
  <si>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</si>
  <si>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</si>
  <si>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</si>
  <si>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</si>
  <si>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</si>
  <si>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</si>
  <si>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</si>
  <si>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</si>
  <si>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</si>
  <si>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</si>
  <si>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</si>
  <si>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</si>
  <si>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</si>
  <si>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</si>
  <si>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</si>
  <si>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</si>
  <si>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</si>
  <si>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</si>
  <si>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</si>
  <si>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</si>
  <si>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</si>
  <si>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</si>
  <si>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</si>
  <si>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</si>
  <si>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</si>
  <si>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</si>
  <si>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</si>
  <si>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</si>
  <si>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</si>
  <si>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</si>
  <si>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</si>
  <si>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Kyrianová</t>
  </si>
  <si>
    <t>Lipšanová</t>
  </si>
  <si>
    <t>Malá</t>
  </si>
  <si>
    <t>Plášil</t>
  </si>
  <si>
    <t>Skalský</t>
  </si>
  <si>
    <t>René</t>
  </si>
  <si>
    <t>Suchý</t>
  </si>
  <si>
    <t>Tadeáš</t>
  </si>
  <si>
    <t>Šimerová</t>
  </si>
  <si>
    <t>Šůla</t>
  </si>
  <si>
    <t>Vrabcová</t>
  </si>
  <si>
    <t>Denisa</t>
  </si>
  <si>
    <t>Borek</t>
  </si>
  <si>
    <t>Dědek</t>
  </si>
  <si>
    <t>Děkan</t>
  </si>
  <si>
    <t>Dimlová</t>
  </si>
  <si>
    <t>Romana</t>
  </si>
  <si>
    <t>Kumprecht</t>
  </si>
  <si>
    <t>Lehký</t>
  </si>
  <si>
    <t>Lissner</t>
  </si>
  <si>
    <t>Malinovská</t>
  </si>
  <si>
    <t>Pecháček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</si>
  <si>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</si>
  <si>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</si>
  <si>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</si>
  <si>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</si>
  <si>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</si>
  <si>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</si>
  <si>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</si>
  <si>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</si>
  <si>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</si>
  <si>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</si>
  <si>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</si>
  <si>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</si>
  <si>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</si>
  <si>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</si>
  <si>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</si>
  <si>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</si>
  <si>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</si>
  <si>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</si>
  <si>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</si>
  <si>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</si>
  <si>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Kofrová</t>
  </si>
  <si>
    <t>Kovář</t>
  </si>
  <si>
    <t>Václav</t>
  </si>
  <si>
    <t>Kučera</t>
  </si>
  <si>
    <t>Peterová</t>
  </si>
  <si>
    <t>Pikešová</t>
  </si>
  <si>
    <t>Pleskotová</t>
  </si>
  <si>
    <t>Pochová</t>
  </si>
  <si>
    <t>Skálová</t>
  </si>
  <si>
    <t>Tomsová</t>
  </si>
  <si>
    <t>Vladař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</si>
  <si>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</si>
  <si>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</si>
  <si>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</si>
  <si>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</si>
  <si>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</si>
  <si>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</si>
  <si>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</si>
  <si>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</si>
  <si>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</si>
  <si>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</si>
  <si>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</si>
  <si>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</si>
  <si>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</si>
  <si>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</si>
  <si>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</si>
  <si>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</si>
  <si>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</si>
  <si>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</si>
  <si>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</si>
  <si>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</si>
  <si>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</si>
  <si>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</si>
  <si>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</si>
  <si>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</si>
  <si>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</si>
  <si>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</si>
  <si>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</si>
  <si>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</si>
  <si>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</si>
  <si>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</si>
  <si>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</si>
  <si>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</si>
  <si>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Janíček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</si>
  <si>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</si>
  <si>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</si>
  <si>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</si>
  <si>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</si>
  <si>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</si>
  <si>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</si>
  <si>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</si>
  <si>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</si>
  <si>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</si>
  <si>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Lukešová</t>
  </si>
  <si>
    <t>Michael</t>
  </si>
  <si>
    <t>Nalezinková</t>
  </si>
  <si>
    <t>Monika</t>
  </si>
  <si>
    <t>Prosová</t>
  </si>
  <si>
    <t>Remlová</t>
  </si>
  <si>
    <t>Řehka</t>
  </si>
  <si>
    <t>Šůlová</t>
  </si>
  <si>
    <t>Ivana</t>
  </si>
  <si>
    <t>Zajíc</t>
  </si>
  <si>
    <t>Zmatlíková</t>
  </si>
  <si>
    <t>Adamová</t>
  </si>
  <si>
    <t>Bělík</t>
  </si>
  <si>
    <t>Harbich</t>
  </si>
  <si>
    <t>Hlavatý</t>
  </si>
  <si>
    <t>Hozák</t>
  </si>
  <si>
    <t>Richard</t>
  </si>
  <si>
    <t>Kosina</t>
  </si>
  <si>
    <t>Koublová</t>
  </si>
  <si>
    <t>Krúpa</t>
  </si>
  <si>
    <t>Kubíková</t>
  </si>
  <si>
    <t>Maděrová</t>
  </si>
  <si>
    <t>Míka</t>
  </si>
  <si>
    <t>Petera</t>
  </si>
  <si>
    <t>Šebek</t>
  </si>
  <si>
    <t>Šilhán</t>
  </si>
  <si>
    <t>Vnoučková</t>
  </si>
  <si>
    <t>Volek</t>
  </si>
  <si>
    <t>Zelenka</t>
  </si>
  <si>
    <t>7.A</t>
  </si>
  <si>
    <t>7.B</t>
  </si>
  <si>
    <t>8.A</t>
  </si>
  <si>
    <t>8.B</t>
  </si>
  <si>
    <t>Bělina</t>
  </si>
  <si>
    <t>9.A</t>
  </si>
  <si>
    <t>9.B</t>
  </si>
  <si>
    <t>Příjmení</t>
  </si>
  <si>
    <t>Jméno</t>
  </si>
  <si>
    <t>Celkem:</t>
  </si>
  <si>
    <t>3.B</t>
  </si>
  <si>
    <t>Benešová</t>
  </si>
  <si>
    <t>Čupr</t>
  </si>
  <si>
    <t>Drapák</t>
  </si>
  <si>
    <t>Hajer</t>
  </si>
  <si>
    <t>Oskar</t>
  </si>
  <si>
    <t>Hoffmannová</t>
  </si>
  <si>
    <t>Kellerová</t>
  </si>
  <si>
    <t>Thach</t>
  </si>
  <si>
    <t>Pavlíková</t>
  </si>
  <si>
    <t>Reml</t>
  </si>
  <si>
    <t>Svobodová</t>
  </si>
  <si>
    <t>Daniela</t>
  </si>
  <si>
    <t>Šmerda</t>
  </si>
  <si>
    <t>Tajčmanová</t>
  </si>
  <si>
    <t>Toráková</t>
  </si>
  <si>
    <t>Iveta</t>
  </si>
  <si>
    <t>Bělíková</t>
  </si>
  <si>
    <t>Doležal</t>
  </si>
  <si>
    <t>Fiala</t>
  </si>
  <si>
    <t>Galáčová</t>
  </si>
  <si>
    <t>Hájek</t>
  </si>
  <si>
    <t>Kočí</t>
  </si>
  <si>
    <t>Langer</t>
  </si>
  <si>
    <t>Ljachová</t>
  </si>
  <si>
    <t>Nolová</t>
  </si>
  <si>
    <t>Pechová</t>
  </si>
  <si>
    <t>Přívozník</t>
  </si>
  <si>
    <t>Hastrdlo</t>
  </si>
  <si>
    <t>Řezníček</t>
  </si>
  <si>
    <t>Škvára</t>
  </si>
  <si>
    <t>Kubínová</t>
  </si>
  <si>
    <t>Natálie</t>
  </si>
  <si>
    <t>Podhájecká</t>
  </si>
  <si>
    <t>Habr</t>
  </si>
  <si>
    <t>Salačová</t>
  </si>
  <si>
    <t>Ventruba</t>
  </si>
  <si>
    <t>Nguyen Ngoc</t>
  </si>
  <si>
    <t xml:space="preserve"> </t>
  </si>
  <si>
    <t>Scheib</t>
  </si>
  <si>
    <t>celkem:</t>
  </si>
  <si>
    <t>Šustr</t>
  </si>
  <si>
    <t>4.B</t>
  </si>
  <si>
    <t>Čížek</t>
  </si>
  <si>
    <t>Drienová</t>
  </si>
  <si>
    <t>Dubská</t>
  </si>
  <si>
    <t>Foltánová</t>
  </si>
  <si>
    <t>Renée</t>
  </si>
  <si>
    <t>Klemša</t>
  </si>
  <si>
    <t>Zdeněk</t>
  </si>
  <si>
    <t>Kloz</t>
  </si>
  <si>
    <t>Konečný</t>
  </si>
  <si>
    <t>Podrábská</t>
  </si>
  <si>
    <t>Marie</t>
  </si>
  <si>
    <t>Rasl</t>
  </si>
  <si>
    <t>Vítězslav</t>
  </si>
  <si>
    <t>Riegrová</t>
  </si>
  <si>
    <t>Starý</t>
  </si>
  <si>
    <t>Štangler</t>
  </si>
  <si>
    <t>Vaňoučková</t>
  </si>
  <si>
    <t>Vejvarová</t>
  </si>
  <si>
    <t>Zeman</t>
  </si>
  <si>
    <t>Nicol</t>
  </si>
  <si>
    <t>Firman</t>
  </si>
  <si>
    <t>Kasan</t>
  </si>
  <si>
    <t>Kropáček</t>
  </si>
  <si>
    <t>Kurillová</t>
  </si>
  <si>
    <t>Ljach</t>
  </si>
  <si>
    <t>Mádle</t>
  </si>
  <si>
    <t>Raška</t>
  </si>
  <si>
    <t>Sasková</t>
  </si>
  <si>
    <t>Stříž</t>
  </si>
  <si>
    <t>Šálková</t>
  </si>
  <si>
    <t>Šubrtová</t>
  </si>
  <si>
    <t>Tomášek</t>
  </si>
  <si>
    <t>Žižková</t>
  </si>
  <si>
    <t>Beneš</t>
  </si>
  <si>
    <t>Malinovský</t>
  </si>
  <si>
    <t>Jaroš</t>
  </si>
  <si>
    <t>Valentýna</t>
  </si>
  <si>
    <t>Matuský</t>
  </si>
  <si>
    <t>Štěpán</t>
  </si>
  <si>
    <t>Ryšánková</t>
  </si>
  <si>
    <t>Společné</t>
  </si>
  <si>
    <t>Šádek</t>
  </si>
  <si>
    <t>Čechtický</t>
  </si>
  <si>
    <t>5.B</t>
  </si>
  <si>
    <t xml:space="preserve">Báča </t>
  </si>
  <si>
    <t>Kryštof</t>
  </si>
  <si>
    <t xml:space="preserve">Beníček </t>
  </si>
  <si>
    <t xml:space="preserve">Bublová </t>
  </si>
  <si>
    <t xml:space="preserve">Devátý </t>
  </si>
  <si>
    <t>Michal</t>
  </si>
  <si>
    <t xml:space="preserve">Hrdinová </t>
  </si>
  <si>
    <t>Kmoch</t>
  </si>
  <si>
    <t xml:space="preserve">Kolář </t>
  </si>
  <si>
    <t xml:space="preserve">Kolářová </t>
  </si>
  <si>
    <t>Anna Marie</t>
  </si>
  <si>
    <t xml:space="preserve">Krupičková </t>
  </si>
  <si>
    <t xml:space="preserve">Kulhavý </t>
  </si>
  <si>
    <t xml:space="preserve">Lankáš </t>
  </si>
  <si>
    <t>Johan Jindřich</t>
  </si>
  <si>
    <t>Kristýnka</t>
  </si>
  <si>
    <t xml:space="preserve">Matějčík </t>
  </si>
  <si>
    <t xml:space="preserve">Mitlener </t>
  </si>
  <si>
    <t>Neckář</t>
  </si>
  <si>
    <t>Matyáš</t>
  </si>
  <si>
    <t xml:space="preserve">Öszi </t>
  </si>
  <si>
    <t xml:space="preserve">Paděra </t>
  </si>
  <si>
    <t>Poupová</t>
  </si>
  <si>
    <t xml:space="preserve">Reisiegel </t>
  </si>
  <si>
    <t xml:space="preserve">Sedlák </t>
  </si>
  <si>
    <t xml:space="preserve">Struhovská </t>
  </si>
  <si>
    <t>Šimonová</t>
  </si>
  <si>
    <t>Třešňáková</t>
  </si>
  <si>
    <t>Bareš</t>
  </si>
  <si>
    <t xml:space="preserve">Blinka </t>
  </si>
  <si>
    <t xml:space="preserve">Fiala </t>
  </si>
  <si>
    <t xml:space="preserve">Flesner </t>
  </si>
  <si>
    <t xml:space="preserve">Götz </t>
  </si>
  <si>
    <t xml:space="preserve">Grolmusová </t>
  </si>
  <si>
    <t>Amálie</t>
  </si>
  <si>
    <t xml:space="preserve">Holas </t>
  </si>
  <si>
    <t xml:space="preserve">Horňáček </t>
  </si>
  <si>
    <t>Horváth</t>
  </si>
  <si>
    <t>Peter</t>
  </si>
  <si>
    <t>Ježková Simona</t>
  </si>
  <si>
    <t xml:space="preserve">Kánský </t>
  </si>
  <si>
    <t xml:space="preserve">Kofrová </t>
  </si>
  <si>
    <t>Mraček</t>
  </si>
  <si>
    <t xml:space="preserve">Nigrin </t>
  </si>
  <si>
    <t xml:space="preserve">Pikešová </t>
  </si>
  <si>
    <t xml:space="preserve">Podešvová  </t>
  </si>
  <si>
    <t xml:space="preserve">Růžička </t>
  </si>
  <si>
    <t>Susová</t>
  </si>
  <si>
    <t xml:space="preserve">Štanglerová </t>
  </si>
  <si>
    <t xml:space="preserve">Trávníčková </t>
  </si>
  <si>
    <t xml:space="preserve">Vancl </t>
  </si>
  <si>
    <t xml:space="preserve">Vrabec </t>
  </si>
  <si>
    <t>Kastnerová</t>
  </si>
  <si>
    <t>zahraničí</t>
  </si>
  <si>
    <t>x</t>
  </si>
  <si>
    <t>Bohuš</t>
  </si>
  <si>
    <t>Kopecký</t>
  </si>
  <si>
    <t>Viktor</t>
  </si>
  <si>
    <t>Malý</t>
  </si>
  <si>
    <t>Fabien Oldřich</t>
  </si>
  <si>
    <t>Bocheňský</t>
  </si>
  <si>
    <t>Jonáš</t>
  </si>
  <si>
    <t>Brabec</t>
  </si>
  <si>
    <t>Čeřovský</t>
  </si>
  <si>
    <t>Drbohlavová</t>
  </si>
  <si>
    <t>Faltová</t>
  </si>
  <si>
    <t>Hanušová</t>
  </si>
  <si>
    <t>Hladíková</t>
  </si>
  <si>
    <t>Chlumová</t>
  </si>
  <si>
    <t>Kolář</t>
  </si>
  <si>
    <t>Kratochvílová</t>
  </si>
  <si>
    <t>Lizancová</t>
  </si>
  <si>
    <t>Pavlína</t>
  </si>
  <si>
    <t>Ngo Dinh</t>
  </si>
  <si>
    <t>Viet Hung</t>
  </si>
  <si>
    <t>Olekšák</t>
  </si>
  <si>
    <t>Rabová</t>
  </si>
  <si>
    <t>Spěšný</t>
  </si>
  <si>
    <t>Šmerdová</t>
  </si>
  <si>
    <t>Špetlíková</t>
  </si>
  <si>
    <t>Toušová</t>
  </si>
  <si>
    <t>Baranovský</t>
  </si>
  <si>
    <t>Bílková</t>
  </si>
  <si>
    <t>Böhm</t>
  </si>
  <si>
    <t>Bolech</t>
  </si>
  <si>
    <t>Bucharová</t>
  </si>
  <si>
    <t>Csibová</t>
  </si>
  <si>
    <t>Černý</t>
  </si>
  <si>
    <t>Hlavatá</t>
  </si>
  <si>
    <t>Horáček</t>
  </si>
  <si>
    <t>Hrabáková</t>
  </si>
  <si>
    <t>Karásek</t>
  </si>
  <si>
    <t>Kašpar</t>
  </si>
  <si>
    <t>Kurtinová</t>
  </si>
  <si>
    <t>Lankaš</t>
  </si>
  <si>
    <t>Novotná</t>
  </si>
  <si>
    <t>Picková</t>
  </si>
  <si>
    <t>Miluše</t>
  </si>
  <si>
    <t>Plischková</t>
  </si>
  <si>
    <t>Poživil</t>
  </si>
  <si>
    <t>Raslová</t>
  </si>
  <si>
    <t>Vondráčková</t>
  </si>
  <si>
    <t>Holoubková</t>
  </si>
  <si>
    <t>Libuše</t>
  </si>
  <si>
    <t>NGUYEN  THI NGOC HUYEN</t>
  </si>
  <si>
    <t xml:space="preserve">Fitsay </t>
  </si>
  <si>
    <t>23.9.</t>
  </si>
  <si>
    <t>Holoubek</t>
  </si>
  <si>
    <t>Tannhäuser</t>
  </si>
  <si>
    <t>24.11.</t>
  </si>
  <si>
    <t>16.3.</t>
  </si>
  <si>
    <t>Koza</t>
  </si>
  <si>
    <t>Pechatá</t>
  </si>
  <si>
    <t>Bleha</t>
  </si>
  <si>
    <t>Ladislav</t>
  </si>
  <si>
    <t>škola</t>
  </si>
  <si>
    <t>sběrna</t>
  </si>
  <si>
    <t>20.5.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</si>
</sst>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18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2"/>
      <color indexed="8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2" fillId="0" borderId="22" xfId="0" applyFont="1" applyBorder="1" applyAlignment="1">
      <alignment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180" fontId="13" fillId="0" borderId="3" xfId="0" applyNumberFormat="1" applyFont="1" applyBorder="1" applyAlignment="1">
      <alignment horizontal="center"/>
    </xf>
    <xf numFmtId="180" fontId="13" fillId="0" borderId="4" xfId="0" applyNumberFormat="1" applyFont="1" applyBorder="1" applyAlignment="1">
      <alignment horizontal="center"/>
    </xf>
    <xf numFmtId="180" fontId="13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/>
    </xf>
    <xf numFmtId="180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5" fillId="2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wrapText="1"/>
    </xf>
    <xf numFmtId="180" fontId="13" fillId="0" borderId="3" xfId="0" applyNumberFormat="1" applyFont="1" applyFill="1" applyBorder="1" applyAlignment="1">
      <alignment horizontal="center" wrapText="1"/>
    </xf>
    <xf numFmtId="180" fontId="13" fillId="0" borderId="4" xfId="0" applyNumberFormat="1" applyFont="1" applyFill="1" applyBorder="1" applyAlignment="1">
      <alignment horizontal="center" wrapText="1"/>
    </xf>
    <xf numFmtId="180" fontId="13" fillId="0" borderId="5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180" fontId="2" fillId="0" borderId="32" xfId="0" applyNumberFormat="1" applyFont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180" fontId="15" fillId="0" borderId="0" xfId="0" applyNumberFormat="1" applyFont="1" applyAlignment="1">
      <alignment horizontal="center"/>
    </xf>
    <xf numFmtId="0" fontId="14" fillId="0" borderId="30" xfId="0" applyFont="1" applyFill="1" applyBorder="1" applyAlignment="1">
      <alignment horizontal="center"/>
    </xf>
    <xf numFmtId="180" fontId="13" fillId="0" borderId="32" xfId="0" applyNumberFormat="1" applyFont="1" applyBorder="1" applyAlignment="1" applyProtection="1">
      <alignment horizontal="center"/>
      <protection hidden="1"/>
    </xf>
    <xf numFmtId="180" fontId="13" fillId="0" borderId="3" xfId="0" applyNumberFormat="1" applyFont="1" applyBorder="1" applyAlignment="1" applyProtection="1">
      <alignment horizontal="center"/>
      <protection locked="0"/>
    </xf>
    <xf numFmtId="180" fontId="13" fillId="0" borderId="4" xfId="0" applyNumberFormat="1" applyFont="1" applyBorder="1" applyAlignment="1" applyProtection="1">
      <alignment horizontal="center"/>
      <protection locked="0"/>
    </xf>
    <xf numFmtId="180" fontId="13" fillId="0" borderId="5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180" fontId="15" fillId="0" borderId="34" xfId="0" applyNumberFormat="1" applyFont="1" applyBorder="1" applyAlignment="1">
      <alignment horizontal="center"/>
    </xf>
    <xf numFmtId="180" fontId="15" fillId="0" borderId="36" xfId="0" applyNumberFormat="1" applyFont="1" applyBorder="1" applyAlignment="1">
      <alignment horizontal="center"/>
    </xf>
    <xf numFmtId="180" fontId="2" fillId="0" borderId="36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center"/>
    </xf>
    <xf numFmtId="182" fontId="2" fillId="0" borderId="33" xfId="0" applyNumberFormat="1" applyFont="1" applyBorder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182" fontId="15" fillId="0" borderId="34" xfId="0" applyNumberFormat="1" applyFont="1" applyBorder="1" applyAlignment="1">
      <alignment horizontal="center"/>
    </xf>
    <xf numFmtId="182" fontId="2" fillId="0" borderId="37" xfId="0" applyNumberFormat="1" applyFont="1" applyBorder="1" applyAlignment="1">
      <alignment horizontal="center"/>
    </xf>
    <xf numFmtId="182" fontId="15" fillId="0" borderId="38" xfId="0" applyNumberFormat="1" applyFont="1" applyBorder="1" applyAlignment="1">
      <alignment horizontal="center"/>
    </xf>
    <xf numFmtId="182" fontId="15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0" fontId="2" fillId="0" borderId="34" xfId="0" applyNumberFormat="1" applyFont="1" applyFill="1" applyBorder="1" applyAlignment="1">
      <alignment horizontal="center"/>
    </xf>
    <xf numFmtId="180" fontId="2" fillId="0" borderId="33" xfId="0" applyNumberFormat="1" applyFont="1" applyFill="1" applyBorder="1" applyAlignment="1">
      <alignment horizontal="center"/>
    </xf>
    <xf numFmtId="180" fontId="15" fillId="0" borderId="34" xfId="0" applyNumberFormat="1" applyFont="1" applyFill="1" applyBorder="1" applyAlignment="1">
      <alignment horizontal="center"/>
    </xf>
    <xf numFmtId="180" fontId="2" fillId="0" borderId="39" xfId="0" applyNumberFormat="1" applyFont="1" applyFill="1" applyBorder="1" applyAlignment="1">
      <alignment horizontal="center"/>
    </xf>
    <xf numFmtId="180" fontId="15" fillId="0" borderId="38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17" fillId="0" borderId="41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43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9" fillId="0" borderId="4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2" fillId="0" borderId="45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2" fillId="0" borderId="48" xfId="0" applyFont="1" applyBorder="1" applyAlignment="1">
      <alignment/>
    </xf>
    <xf numFmtId="180" fontId="2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50" xfId="0" applyNumberFormat="1" applyFont="1" applyBorder="1" applyAlignment="1">
      <alignment horizontal="center"/>
    </xf>
    <xf numFmtId="180" fontId="2" fillId="0" borderId="44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180" fontId="2" fillId="0" borderId="45" xfId="0" applyNumberFormat="1" applyFont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180" fontId="2" fillId="0" borderId="43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13" fillId="0" borderId="32" xfId="0" applyNumberFormat="1" applyFont="1" applyBorder="1" applyAlignment="1">
      <alignment horizontal="center"/>
    </xf>
    <xf numFmtId="180" fontId="2" fillId="0" borderId="52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80" fontId="2" fillId="0" borderId="50" xfId="0" applyNumberFormat="1" applyFont="1" applyFill="1" applyBorder="1" applyAlignment="1">
      <alignment horizontal="center"/>
    </xf>
    <xf numFmtId="180" fontId="2" fillId="0" borderId="45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80" fontId="2" fillId="0" borderId="43" xfId="0" applyNumberFormat="1" applyFont="1" applyFill="1" applyBorder="1" applyAlignment="1">
      <alignment horizontal="center"/>
    </xf>
    <xf numFmtId="180" fontId="2" fillId="0" borderId="53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180" fontId="2" fillId="0" borderId="32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/>
    </xf>
    <xf numFmtId="180" fontId="2" fillId="0" borderId="47" xfId="0" applyNumberFormat="1" applyFont="1" applyFill="1" applyBorder="1" applyAlignment="1">
      <alignment horizontal="center"/>
    </xf>
    <xf numFmtId="180" fontId="2" fillId="0" borderId="54" xfId="0" applyNumberFormat="1" applyFont="1" applyBorder="1" applyAlignment="1">
      <alignment horizontal="center"/>
    </xf>
    <xf numFmtId="180" fontId="2" fillId="0" borderId="53" xfId="0" applyNumberFormat="1" applyFont="1" applyBorder="1" applyAlignment="1">
      <alignment horizontal="center"/>
    </xf>
    <xf numFmtId="182" fontId="2" fillId="0" borderId="7" xfId="0" applyNumberFormat="1" applyFont="1" applyBorder="1" applyAlignment="1">
      <alignment horizontal="center"/>
    </xf>
    <xf numFmtId="182" fontId="2" fillId="0" borderId="8" xfId="0" applyNumberFormat="1" applyFont="1" applyBorder="1" applyAlignment="1">
      <alignment horizontal="center"/>
    </xf>
    <xf numFmtId="182" fontId="2" fillId="0" borderId="9" xfId="0" applyNumberFormat="1" applyFont="1" applyBorder="1" applyAlignment="1">
      <alignment horizontal="center"/>
    </xf>
    <xf numFmtId="182" fontId="2" fillId="0" borderId="32" xfId="0" applyNumberFormat="1" applyFont="1" applyBorder="1" applyAlignment="1">
      <alignment/>
    </xf>
    <xf numFmtId="182" fontId="2" fillId="0" borderId="4" xfId="0" applyNumberFormat="1" applyFont="1" applyBorder="1" applyAlignment="1">
      <alignment/>
    </xf>
    <xf numFmtId="182" fontId="2" fillId="0" borderId="54" xfId="0" applyNumberFormat="1" applyFont="1" applyBorder="1" applyAlignment="1">
      <alignment/>
    </xf>
    <xf numFmtId="182" fontId="2" fillId="0" borderId="47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9" fillId="0" borderId="5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82" fontId="2" fillId="0" borderId="39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182" fontId="2" fillId="0" borderId="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182" fontId="12" fillId="0" borderId="0" xfId="0" applyNumberFormat="1" applyFont="1" applyAlignment="1">
      <alignment horizontal="center"/>
    </xf>
    <xf numFmtId="182" fontId="15" fillId="0" borderId="34" xfId="0" applyNumberFormat="1" applyFont="1" applyFill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180" fontId="2" fillId="0" borderId="45" xfId="0" applyNumberFormat="1" applyFont="1" applyBorder="1" applyAlignment="1">
      <alignment horizontal="center"/>
    </xf>
    <xf numFmtId="180" fontId="4" fillId="0" borderId="49" xfId="0" applyNumberFormat="1" applyFont="1" applyBorder="1" applyAlignment="1">
      <alignment horizontal="center"/>
    </xf>
    <xf numFmtId="180" fontId="4" fillId="0" borderId="55" xfId="0" applyNumberFormat="1" applyFont="1" applyBorder="1" applyAlignment="1">
      <alignment horizontal="center"/>
    </xf>
    <xf numFmtId="180" fontId="4" fillId="0" borderId="56" xfId="0" applyNumberFormat="1" applyFont="1" applyBorder="1" applyAlignment="1">
      <alignment horizontal="center"/>
    </xf>
    <xf numFmtId="180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82" fontId="4" fillId="0" borderId="30" xfId="0" applyNumberFormat="1" applyFont="1" applyBorder="1" applyAlignment="1">
      <alignment/>
    </xf>
    <xf numFmtId="0" fontId="4" fillId="0" borderId="49" xfId="0" applyFont="1" applyBorder="1" applyAlignment="1">
      <alignment horizontal="left"/>
    </xf>
    <xf numFmtId="180" fontId="15" fillId="0" borderId="44" xfId="0" applyNumberFormat="1" applyFont="1" applyBorder="1" applyAlignment="1">
      <alignment horizontal="center"/>
    </xf>
    <xf numFmtId="180" fontId="15" fillId="0" borderId="19" xfId="0" applyNumberFormat="1" applyFont="1" applyBorder="1" applyAlignment="1">
      <alignment horizontal="center"/>
    </xf>
    <xf numFmtId="180" fontId="15" fillId="0" borderId="20" xfId="0" applyNumberFormat="1" applyFont="1" applyBorder="1" applyAlignment="1">
      <alignment horizontal="center"/>
    </xf>
    <xf numFmtId="180" fontId="15" fillId="0" borderId="44" xfId="0" applyNumberFormat="1" applyFont="1" applyFill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8" xfId="0" applyNumberFormat="1" applyFont="1" applyFill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  <xf numFmtId="180" fontId="2" fillId="0" borderId="40" xfId="0" applyNumberFormat="1" applyFont="1" applyBorder="1" applyAlignment="1">
      <alignment horizontal="center"/>
    </xf>
    <xf numFmtId="180" fontId="2" fillId="0" borderId="43" xfId="0" applyNumberFormat="1" applyFont="1" applyBorder="1" applyAlignment="1">
      <alignment horizontal="center"/>
    </xf>
    <xf numFmtId="180" fontId="2" fillId="0" borderId="44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40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2" fontId="15" fillId="0" borderId="51" xfId="0" applyNumberFormat="1" applyFont="1" applyBorder="1" applyAlignment="1">
      <alignment horizontal="center"/>
    </xf>
    <xf numFmtId="182" fontId="2" fillId="0" borderId="18" xfId="0" applyNumberFormat="1" applyFont="1" applyBorder="1" applyAlignment="1">
      <alignment horizontal="center"/>
    </xf>
    <xf numFmtId="182" fontId="2" fillId="0" borderId="19" xfId="0" applyNumberFormat="1" applyFont="1" applyBorder="1" applyAlignment="1">
      <alignment horizontal="center"/>
    </xf>
    <xf numFmtId="182" fontId="2" fillId="0" borderId="40" xfId="0" applyNumberFormat="1" applyFont="1" applyBorder="1" applyAlignment="1">
      <alignment horizontal="center"/>
    </xf>
    <xf numFmtId="180" fontId="13" fillId="0" borderId="3" xfId="0" applyNumberFormat="1" applyFont="1" applyBorder="1" applyAlignment="1" applyProtection="1">
      <alignment horizontal="center"/>
      <protection hidden="1"/>
    </xf>
    <xf numFmtId="180" fontId="13" fillId="0" borderId="47" xfId="0" applyNumberFormat="1" applyFont="1" applyBorder="1" applyAlignment="1" applyProtection="1">
      <alignment horizontal="center"/>
      <protection hidden="1"/>
    </xf>
    <xf numFmtId="180" fontId="13" fillId="0" borderId="47" xfId="0" applyNumberFormat="1" applyFont="1" applyBorder="1" applyAlignment="1">
      <alignment horizontal="center"/>
    </xf>
    <xf numFmtId="180" fontId="15" fillId="0" borderId="15" xfId="0" applyNumberFormat="1" applyFont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0" fontId="15" fillId="0" borderId="17" xfId="0" applyNumberFormat="1" applyFont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180" fontId="15" fillId="0" borderId="15" xfId="0" applyNumberFormat="1" applyFont="1" applyFill="1" applyBorder="1" applyAlignment="1">
      <alignment horizontal="center"/>
    </xf>
    <xf numFmtId="180" fontId="15" fillId="0" borderId="22" xfId="0" applyNumberFormat="1" applyFont="1" applyFill="1" applyBorder="1" applyAlignment="1">
      <alignment horizontal="center"/>
    </xf>
    <xf numFmtId="180" fontId="2" fillId="0" borderId="42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15" xfId="0" applyNumberFormat="1" applyFont="1" applyBorder="1" applyAlignment="1">
      <alignment horizontal="center"/>
    </xf>
    <xf numFmtId="182" fontId="15" fillId="0" borderId="15" xfId="0" applyNumberFormat="1" applyFont="1" applyBorder="1" applyAlignment="1">
      <alignment horizontal="center"/>
    </xf>
    <xf numFmtId="182" fontId="15" fillId="0" borderId="15" xfId="0" applyNumberFormat="1" applyFont="1" applyFill="1" applyBorder="1" applyAlignment="1">
      <alignment horizontal="center"/>
    </xf>
    <xf numFmtId="182" fontId="2" fillId="0" borderId="42" xfId="0" applyNumberFormat="1" applyFont="1" applyBorder="1" applyAlignment="1">
      <alignment horizontal="center"/>
    </xf>
    <xf numFmtId="182" fontId="15" fillId="0" borderId="42" xfId="0" applyNumberFormat="1" applyFont="1" applyBorder="1" applyAlignment="1">
      <alignment horizontal="center"/>
    </xf>
    <xf numFmtId="182" fontId="15" fillId="0" borderId="22" xfId="0" applyNumberFormat="1" applyFont="1" applyBorder="1" applyAlignment="1">
      <alignment horizontal="center"/>
    </xf>
    <xf numFmtId="180" fontId="15" fillId="0" borderId="13" xfId="0" applyNumberFormat="1" applyFont="1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center"/>
    </xf>
    <xf numFmtId="180" fontId="2" fillId="0" borderId="36" xfId="0" applyNumberFormat="1" applyFont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180" fontId="2" fillId="0" borderId="57" xfId="0" applyNumberFormat="1" applyFont="1" applyFill="1" applyBorder="1" applyAlignment="1">
      <alignment horizontal="center"/>
    </xf>
    <xf numFmtId="180" fontId="15" fillId="0" borderId="34" xfId="0" applyNumberFormat="1" applyFont="1" applyBorder="1" applyAlignment="1">
      <alignment horizontal="center"/>
    </xf>
    <xf numFmtId="182" fontId="2" fillId="0" borderId="19" xfId="0" applyNumberFormat="1" applyFont="1" applyFill="1" applyBorder="1" applyAlignment="1">
      <alignment horizontal="center"/>
    </xf>
    <xf numFmtId="182" fontId="2" fillId="0" borderId="57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left"/>
    </xf>
    <xf numFmtId="0" fontId="5" fillId="0" borderId="49" xfId="0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49" fontId="4" fillId="0" borderId="49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180" fontId="4" fillId="0" borderId="49" xfId="0" applyNumberFormat="1" applyFont="1" applyBorder="1" applyAlignment="1">
      <alignment horizontal="center"/>
    </xf>
    <xf numFmtId="180" fontId="4" fillId="0" borderId="56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180" fontId="4" fillId="0" borderId="55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2" fontId="4" fillId="0" borderId="55" xfId="0" applyNumberFormat="1" applyFont="1" applyBorder="1" applyAlignment="1">
      <alignment horizontal="center"/>
    </xf>
    <xf numFmtId="182" fontId="4" fillId="0" borderId="56" xfId="0" applyNumberFormat="1" applyFont="1" applyBorder="1" applyAlignment="1">
      <alignment horizontal="center"/>
    </xf>
    <xf numFmtId="182" fontId="4" fillId="0" borderId="49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2" t="s">
        <v>0</v>
      </c>
      <c r="B1" s="4" t="s">
        <v>261</v>
      </c>
      <c r="C1" s="3" t="s">
        <v>262</v>
      </c>
      <c r="D1" s="143" t="s">
        <v>457</v>
      </c>
      <c r="E1" s="155" t="s">
        <v>460</v>
      </c>
      <c r="F1" s="257" t="s">
        <v>461</v>
      </c>
      <c r="G1" s="258"/>
      <c r="H1" s="257" t="s">
        <v>468</v>
      </c>
      <c r="I1" s="261"/>
      <c r="J1" s="89" t="s">
        <v>304</v>
      </c>
    </row>
    <row r="2" spans="1:10" ht="19.5" customHeight="1">
      <c r="A2" s="57">
        <v>1</v>
      </c>
      <c r="B2" s="115" t="s">
        <v>351</v>
      </c>
      <c r="C2" s="116" t="s">
        <v>352</v>
      </c>
      <c r="D2" s="151">
        <v>0</v>
      </c>
      <c r="E2" s="25">
        <v>75</v>
      </c>
      <c r="F2" s="154">
        <v>0</v>
      </c>
      <c r="G2" s="98"/>
      <c r="H2" s="144">
        <v>23</v>
      </c>
      <c r="I2" s="204"/>
      <c r="J2" s="90">
        <f>SUM(D2:I2)</f>
        <v>98</v>
      </c>
    </row>
    <row r="3" spans="1:10" ht="19.5" customHeight="1">
      <c r="A3" s="58">
        <v>2</v>
      </c>
      <c r="B3" s="117" t="s">
        <v>353</v>
      </c>
      <c r="C3" s="118" t="s">
        <v>63</v>
      </c>
      <c r="D3" s="144">
        <v>5</v>
      </c>
      <c r="E3" s="85">
        <v>13</v>
      </c>
      <c r="F3" s="9">
        <v>16</v>
      </c>
      <c r="G3" s="96"/>
      <c r="H3" s="144">
        <v>9</v>
      </c>
      <c r="I3" s="226"/>
      <c r="J3" s="90">
        <f aca="true" t="shared" si="0" ref="J3:J27">SUM(D3:I3)</f>
        <v>43</v>
      </c>
    </row>
    <row r="4" spans="1:10" ht="19.5" customHeight="1">
      <c r="A4" s="58">
        <v>3</v>
      </c>
      <c r="B4" s="117" t="s">
        <v>354</v>
      </c>
      <c r="C4" s="118" t="s">
        <v>96</v>
      </c>
      <c r="D4" s="141">
        <v>8</v>
      </c>
      <c r="E4" s="25">
        <v>1</v>
      </c>
      <c r="F4" s="10">
        <v>8</v>
      </c>
      <c r="G4" s="97"/>
      <c r="H4" s="141">
        <v>7</v>
      </c>
      <c r="I4" s="205"/>
      <c r="J4" s="90">
        <f t="shared" si="0"/>
        <v>24</v>
      </c>
    </row>
    <row r="5" spans="1:10" ht="19.5" customHeight="1">
      <c r="A5" s="58">
        <v>4</v>
      </c>
      <c r="B5" s="117" t="s">
        <v>355</v>
      </c>
      <c r="C5" s="118" t="s">
        <v>356</v>
      </c>
      <c r="D5" s="141">
        <v>6</v>
      </c>
      <c r="E5" s="25">
        <v>0</v>
      </c>
      <c r="F5" s="10">
        <v>9</v>
      </c>
      <c r="G5" s="97"/>
      <c r="H5" s="141">
        <v>18</v>
      </c>
      <c r="I5" s="205"/>
      <c r="J5" s="90">
        <f t="shared" si="0"/>
        <v>33</v>
      </c>
    </row>
    <row r="6" spans="1:10" ht="19.5" customHeight="1">
      <c r="A6" s="58">
        <v>5</v>
      </c>
      <c r="B6" s="117" t="s">
        <v>357</v>
      </c>
      <c r="C6" s="118" t="s">
        <v>60</v>
      </c>
      <c r="D6" s="141">
        <v>0</v>
      </c>
      <c r="E6" s="25">
        <v>16</v>
      </c>
      <c r="F6" s="10">
        <v>6</v>
      </c>
      <c r="G6" s="97"/>
      <c r="H6" s="141">
        <v>11.5</v>
      </c>
      <c r="I6" s="205"/>
      <c r="J6" s="90">
        <f t="shared" si="0"/>
        <v>33.5</v>
      </c>
    </row>
    <row r="7" spans="1:10" ht="19.5" customHeight="1">
      <c r="A7" s="58">
        <v>6</v>
      </c>
      <c r="B7" s="117" t="s">
        <v>358</v>
      </c>
      <c r="C7" s="118" t="s">
        <v>8</v>
      </c>
      <c r="D7" s="141">
        <v>11</v>
      </c>
      <c r="E7" s="25">
        <v>0</v>
      </c>
      <c r="F7" s="10">
        <v>6</v>
      </c>
      <c r="G7" s="97"/>
      <c r="H7" s="141">
        <v>11</v>
      </c>
      <c r="I7" s="205"/>
      <c r="J7" s="90">
        <f t="shared" si="0"/>
        <v>28</v>
      </c>
    </row>
    <row r="8" spans="1:10" ht="19.5" customHeight="1">
      <c r="A8" s="58">
        <v>7</v>
      </c>
      <c r="B8" s="117" t="s">
        <v>359</v>
      </c>
      <c r="C8" s="118" t="s">
        <v>77</v>
      </c>
      <c r="D8" s="141">
        <v>144</v>
      </c>
      <c r="E8" s="25">
        <f>109+139+111</f>
        <v>359</v>
      </c>
      <c r="F8" s="10">
        <v>87</v>
      </c>
      <c r="G8" s="99"/>
      <c r="H8" s="141">
        <v>133</v>
      </c>
      <c r="I8" s="223"/>
      <c r="J8" s="90">
        <f t="shared" si="0"/>
        <v>723</v>
      </c>
    </row>
    <row r="9" spans="1:10" ht="19.5" customHeight="1">
      <c r="A9" s="58">
        <v>8</v>
      </c>
      <c r="B9" s="117" t="s">
        <v>360</v>
      </c>
      <c r="C9" s="118" t="s">
        <v>361</v>
      </c>
      <c r="D9" s="141">
        <v>11</v>
      </c>
      <c r="E9" s="25">
        <v>0</v>
      </c>
      <c r="F9" s="10">
        <v>11</v>
      </c>
      <c r="G9" s="97"/>
      <c r="H9" s="141">
        <v>15</v>
      </c>
      <c r="I9" s="205"/>
      <c r="J9" s="90">
        <f t="shared" si="0"/>
        <v>37</v>
      </c>
    </row>
    <row r="10" spans="1:10" ht="19.5" customHeight="1">
      <c r="A10" s="58">
        <v>9</v>
      </c>
      <c r="B10" s="117" t="s">
        <v>362</v>
      </c>
      <c r="C10" s="118" t="s">
        <v>79</v>
      </c>
      <c r="D10" s="141">
        <v>4</v>
      </c>
      <c r="E10" s="25">
        <v>2</v>
      </c>
      <c r="F10" s="10">
        <v>1.5</v>
      </c>
      <c r="G10" s="97"/>
      <c r="H10" s="141">
        <v>0</v>
      </c>
      <c r="I10" s="205"/>
      <c r="J10" s="90">
        <f t="shared" si="0"/>
        <v>7.5</v>
      </c>
    </row>
    <row r="11" spans="1:10" ht="19.5" customHeight="1">
      <c r="A11" s="58">
        <v>10</v>
      </c>
      <c r="B11" s="117" t="s">
        <v>363</v>
      </c>
      <c r="C11" s="118" t="s">
        <v>345</v>
      </c>
      <c r="D11" s="141">
        <v>5</v>
      </c>
      <c r="E11" s="25">
        <v>7.5</v>
      </c>
      <c r="F11" s="10">
        <v>3</v>
      </c>
      <c r="G11" s="97"/>
      <c r="H11" s="141">
        <v>0</v>
      </c>
      <c r="I11" s="205"/>
      <c r="J11" s="90">
        <f t="shared" si="0"/>
        <v>15.5</v>
      </c>
    </row>
    <row r="12" spans="1:10" ht="19.5" customHeight="1">
      <c r="A12" s="58">
        <v>11</v>
      </c>
      <c r="B12" s="117" t="s">
        <v>364</v>
      </c>
      <c r="C12" s="118" t="s">
        <v>365</v>
      </c>
      <c r="D12" s="141">
        <v>48</v>
      </c>
      <c r="E12" s="25">
        <v>92</v>
      </c>
      <c r="F12" s="10">
        <v>107</v>
      </c>
      <c r="G12" s="97"/>
      <c r="H12" s="141">
        <v>0</v>
      </c>
      <c r="I12" s="205"/>
      <c r="J12" s="90">
        <f t="shared" si="0"/>
        <v>247</v>
      </c>
    </row>
    <row r="13" spans="1:10" ht="19.5" customHeight="1">
      <c r="A13" s="58">
        <v>12</v>
      </c>
      <c r="B13" s="117" t="s">
        <v>246</v>
      </c>
      <c r="C13" s="118" t="s">
        <v>366</v>
      </c>
      <c r="D13" s="141">
        <v>13</v>
      </c>
      <c r="E13" s="25">
        <v>0</v>
      </c>
      <c r="F13" s="10">
        <v>26</v>
      </c>
      <c r="G13" s="99"/>
      <c r="H13" s="141">
        <v>19.5</v>
      </c>
      <c r="I13" s="223"/>
      <c r="J13" s="90">
        <f t="shared" si="0"/>
        <v>58.5</v>
      </c>
    </row>
    <row r="14" spans="1:10" ht="19.5" customHeight="1">
      <c r="A14" s="58">
        <v>13</v>
      </c>
      <c r="B14" s="117" t="s">
        <v>367</v>
      </c>
      <c r="C14" s="118" t="s">
        <v>30</v>
      </c>
      <c r="D14" s="141">
        <v>22</v>
      </c>
      <c r="E14" s="25">
        <v>16.5</v>
      </c>
      <c r="F14" s="10">
        <v>20</v>
      </c>
      <c r="G14" s="97"/>
      <c r="H14" s="141">
        <v>25</v>
      </c>
      <c r="I14" s="205"/>
      <c r="J14" s="90">
        <f t="shared" si="0"/>
        <v>83.5</v>
      </c>
    </row>
    <row r="15" spans="1:10" ht="19.5" customHeight="1">
      <c r="A15" s="58">
        <v>14</v>
      </c>
      <c r="B15" s="117" t="s">
        <v>368</v>
      </c>
      <c r="C15" s="118" t="s">
        <v>23</v>
      </c>
      <c r="D15" s="141">
        <v>22</v>
      </c>
      <c r="E15" s="25">
        <v>8</v>
      </c>
      <c r="F15" s="10">
        <v>12</v>
      </c>
      <c r="G15" s="99"/>
      <c r="H15" s="141">
        <v>0</v>
      </c>
      <c r="I15" s="223"/>
      <c r="J15" s="90">
        <f t="shared" si="0"/>
        <v>42</v>
      </c>
    </row>
    <row r="16" spans="1:10" ht="19.5" customHeight="1">
      <c r="A16" s="58">
        <v>15</v>
      </c>
      <c r="B16" s="117" t="s">
        <v>84</v>
      </c>
      <c r="C16" s="118" t="s">
        <v>70</v>
      </c>
      <c r="D16" s="141">
        <v>0</v>
      </c>
      <c r="E16" s="25">
        <f>100</f>
        <v>100</v>
      </c>
      <c r="F16" s="10">
        <v>0</v>
      </c>
      <c r="G16" s="99">
        <f>120+150</f>
        <v>270</v>
      </c>
      <c r="H16" s="141">
        <v>0</v>
      </c>
      <c r="I16" s="223"/>
      <c r="J16" s="90">
        <f t="shared" si="0"/>
        <v>370</v>
      </c>
    </row>
    <row r="17" spans="1:10" ht="19.5" customHeight="1">
      <c r="A17" s="58">
        <v>16</v>
      </c>
      <c r="B17" s="117" t="s">
        <v>369</v>
      </c>
      <c r="C17" s="118" t="s">
        <v>370</v>
      </c>
      <c r="D17" s="141">
        <v>10</v>
      </c>
      <c r="E17" s="25">
        <v>11</v>
      </c>
      <c r="F17" s="10">
        <v>15.5</v>
      </c>
      <c r="G17" s="99"/>
      <c r="H17" s="141">
        <v>15</v>
      </c>
      <c r="I17" s="223"/>
      <c r="J17" s="90">
        <f t="shared" si="0"/>
        <v>51.5</v>
      </c>
    </row>
    <row r="18" spans="1:10" ht="19.5" customHeight="1">
      <c r="A18" s="58">
        <v>17</v>
      </c>
      <c r="B18" s="117" t="s">
        <v>371</v>
      </c>
      <c r="C18" s="118" t="s">
        <v>30</v>
      </c>
      <c r="D18" s="141">
        <v>34</v>
      </c>
      <c r="E18" s="25">
        <v>30</v>
      </c>
      <c r="F18" s="10">
        <v>40</v>
      </c>
      <c r="G18" s="97"/>
      <c r="H18" s="141">
        <v>33</v>
      </c>
      <c r="I18" s="205"/>
      <c r="J18" s="90">
        <f t="shared" si="0"/>
        <v>137</v>
      </c>
    </row>
    <row r="19" spans="1:10" ht="19.5" customHeight="1">
      <c r="A19" s="58">
        <v>18</v>
      </c>
      <c r="B19" s="117" t="s">
        <v>372</v>
      </c>
      <c r="C19" s="118" t="s">
        <v>23</v>
      </c>
      <c r="D19" s="141">
        <v>8</v>
      </c>
      <c r="E19" s="25">
        <v>1.5</v>
      </c>
      <c r="F19" s="10">
        <v>6.5</v>
      </c>
      <c r="G19" s="97"/>
      <c r="H19" s="141">
        <v>7</v>
      </c>
      <c r="I19" s="205"/>
      <c r="J19" s="90">
        <f t="shared" si="0"/>
        <v>23</v>
      </c>
    </row>
    <row r="20" spans="1:10" ht="19.5" customHeight="1">
      <c r="A20" s="58">
        <v>19</v>
      </c>
      <c r="B20" s="117" t="s">
        <v>373</v>
      </c>
      <c r="C20" s="118" t="s">
        <v>12</v>
      </c>
      <c r="D20" s="141">
        <v>55</v>
      </c>
      <c r="E20" s="25">
        <v>25</v>
      </c>
      <c r="F20" s="10">
        <v>59</v>
      </c>
      <c r="G20" s="97"/>
      <c r="H20" s="141">
        <v>59.5</v>
      </c>
      <c r="I20" s="205"/>
      <c r="J20" s="90">
        <f t="shared" si="0"/>
        <v>198.5</v>
      </c>
    </row>
    <row r="21" spans="1:10" ht="19.5" customHeight="1">
      <c r="A21" s="58">
        <v>20</v>
      </c>
      <c r="B21" s="117" t="s">
        <v>374</v>
      </c>
      <c r="C21" s="118" t="s">
        <v>30</v>
      </c>
      <c r="D21" s="141">
        <v>0</v>
      </c>
      <c r="E21" s="25">
        <v>22</v>
      </c>
      <c r="F21" s="10">
        <v>17</v>
      </c>
      <c r="G21" s="97"/>
      <c r="H21" s="141">
        <v>25</v>
      </c>
      <c r="I21" s="205"/>
      <c r="J21" s="90">
        <f t="shared" si="0"/>
        <v>64</v>
      </c>
    </row>
    <row r="22" spans="1:10" ht="19.5" customHeight="1">
      <c r="A22" s="58">
        <v>21</v>
      </c>
      <c r="B22" s="117" t="s">
        <v>375</v>
      </c>
      <c r="C22" s="118" t="s">
        <v>160</v>
      </c>
      <c r="D22" s="141">
        <f>12+4.5</f>
        <v>16.5</v>
      </c>
      <c r="E22" s="25">
        <v>9.5</v>
      </c>
      <c r="F22" s="10">
        <v>10</v>
      </c>
      <c r="G22" s="97"/>
      <c r="H22" s="141">
        <v>8</v>
      </c>
      <c r="I22" s="205"/>
      <c r="J22" s="90">
        <f t="shared" si="0"/>
        <v>44</v>
      </c>
    </row>
    <row r="23" spans="1:10" ht="19.5" customHeight="1">
      <c r="A23" s="119">
        <v>22</v>
      </c>
      <c r="B23" s="120" t="s">
        <v>376</v>
      </c>
      <c r="C23" s="121" t="s">
        <v>71</v>
      </c>
      <c r="D23" s="141">
        <v>0</v>
      </c>
      <c r="E23" s="25">
        <v>0</v>
      </c>
      <c r="F23" s="10">
        <v>55</v>
      </c>
      <c r="G23" s="97"/>
      <c r="H23" s="141">
        <v>92</v>
      </c>
      <c r="I23" s="205"/>
      <c r="J23" s="90">
        <f t="shared" si="0"/>
        <v>147</v>
      </c>
    </row>
    <row r="24" spans="1:10" ht="19.5" customHeight="1">
      <c r="A24" s="119">
        <v>23</v>
      </c>
      <c r="B24" s="120" t="s">
        <v>377</v>
      </c>
      <c r="C24" s="121" t="s">
        <v>10</v>
      </c>
      <c r="D24" s="141">
        <v>0</v>
      </c>
      <c r="E24" s="25">
        <f>60</f>
        <v>60</v>
      </c>
      <c r="F24" s="10">
        <v>0</v>
      </c>
      <c r="G24" s="99">
        <f>120</f>
        <v>120</v>
      </c>
      <c r="H24" s="141">
        <v>0</v>
      </c>
      <c r="I24" s="223">
        <v>100</v>
      </c>
      <c r="J24" s="90">
        <f t="shared" si="0"/>
        <v>280</v>
      </c>
    </row>
    <row r="25" spans="1:10" ht="19.5" customHeight="1">
      <c r="A25" s="119">
        <v>24</v>
      </c>
      <c r="B25" s="120" t="s">
        <v>378</v>
      </c>
      <c r="C25" s="121" t="s">
        <v>60</v>
      </c>
      <c r="D25" s="141">
        <v>70</v>
      </c>
      <c r="E25" s="25">
        <f>71+74+69+78</f>
        <v>292</v>
      </c>
      <c r="F25" s="10">
        <v>127</v>
      </c>
      <c r="G25" s="97"/>
      <c r="H25" s="141">
        <f>294.5+99</f>
        <v>393.5</v>
      </c>
      <c r="I25" s="205"/>
      <c r="J25" s="90">
        <f t="shared" si="0"/>
        <v>882.5</v>
      </c>
    </row>
    <row r="26" spans="1:10" ht="19.5" customHeight="1" thickBot="1">
      <c r="A26" s="122">
        <v>25</v>
      </c>
      <c r="B26" s="123" t="s">
        <v>235</v>
      </c>
      <c r="C26" s="124" t="s">
        <v>75</v>
      </c>
      <c r="D26" s="142">
        <v>3</v>
      </c>
      <c r="E26" s="26">
        <v>5</v>
      </c>
      <c r="F26" s="12">
        <v>5</v>
      </c>
      <c r="G26" s="101"/>
      <c r="H26" s="142">
        <v>0</v>
      </c>
      <c r="I26" s="225"/>
      <c r="J26" s="90">
        <f t="shared" si="0"/>
        <v>13</v>
      </c>
    </row>
    <row r="27" spans="2:10" ht="15.75">
      <c r="B27" s="68" t="s">
        <v>347</v>
      </c>
      <c r="C27" s="64"/>
      <c r="D27" s="65"/>
      <c r="E27" s="65"/>
      <c r="F27" s="65"/>
      <c r="G27" s="65"/>
      <c r="H27" s="65"/>
      <c r="I27" s="65"/>
      <c r="J27" s="90">
        <f t="shared" si="0"/>
        <v>0</v>
      </c>
    </row>
    <row r="28" spans="2:10" ht="16.5" thickBot="1">
      <c r="B28" s="68"/>
      <c r="C28" s="64"/>
      <c r="D28" s="65"/>
      <c r="E28" s="65"/>
      <c r="F28" s="189" t="s">
        <v>466</v>
      </c>
      <c r="G28" s="189" t="s">
        <v>467</v>
      </c>
      <c r="H28" s="189" t="s">
        <v>466</v>
      </c>
      <c r="I28" s="189" t="s">
        <v>467</v>
      </c>
      <c r="J28" s="64"/>
    </row>
    <row r="29" spans="1:11" s="23" customFormat="1" ht="16.5" thickBot="1">
      <c r="A29" s="22"/>
      <c r="B29" s="78" t="s">
        <v>263</v>
      </c>
      <c r="D29" s="193">
        <f>SUM(D3:D27)</f>
        <v>495.5</v>
      </c>
      <c r="E29" s="196">
        <f>SUM(E2:E27)</f>
        <v>1146</v>
      </c>
      <c r="F29" s="259">
        <f>SUM(F2:G26)</f>
        <v>1037.5</v>
      </c>
      <c r="G29" s="260"/>
      <c r="H29" s="259">
        <f>SUM(H2:I27)</f>
        <v>1005</v>
      </c>
      <c r="I29" s="260"/>
      <c r="J29" s="77">
        <f>SUM(J2:J28)</f>
        <v>3684</v>
      </c>
      <c r="K29" s="176"/>
    </row>
  </sheetData>
  <mergeCells count="4">
    <mergeCell ref="F1:G1"/>
    <mergeCell ref="F29:G29"/>
    <mergeCell ref="H1:I1"/>
    <mergeCell ref="H29:I29"/>
  </mergeCells>
  <printOptions/>
  <pageMargins left="0.75" right="0.75" top="1" bottom="1" header="0.4921259845" footer="0.4921259845"/>
  <pageSetup fitToHeight="1" fitToWidth="1" horizontalDpi="300" verticalDpi="300" orientation="landscape" paperSize="9" scale="81" r:id="rId1"/>
  <headerFooter alignWithMargins="0">
    <oddHeader>&amp;C&amp;"Arial,Tučné"&amp;14Sběr 2009 - 2010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J2" sqref="J2:J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1" t="s">
        <v>350</v>
      </c>
      <c r="B1" s="8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40">
        <v>1</v>
      </c>
      <c r="B2" s="44" t="s">
        <v>432</v>
      </c>
      <c r="C2" s="45" t="s">
        <v>65</v>
      </c>
      <c r="D2" s="150">
        <v>3</v>
      </c>
      <c r="E2" s="85">
        <v>12</v>
      </c>
      <c r="F2" s="9">
        <v>12</v>
      </c>
      <c r="G2" s="96"/>
      <c r="H2" s="151">
        <v>5</v>
      </c>
      <c r="I2" s="239">
        <f>200</f>
        <v>200</v>
      </c>
      <c r="J2" s="61">
        <f>SUM(D2:I2)</f>
        <v>232</v>
      </c>
    </row>
    <row r="3" spans="1:10" ht="19.5" customHeight="1">
      <c r="A3" s="41">
        <v>2</v>
      </c>
      <c r="B3" s="46" t="s">
        <v>433</v>
      </c>
      <c r="C3" s="47" t="s">
        <v>52</v>
      </c>
      <c r="D3" s="146">
        <v>93</v>
      </c>
      <c r="E3" s="25">
        <v>88</v>
      </c>
      <c r="F3" s="10">
        <v>50</v>
      </c>
      <c r="G3" s="97"/>
      <c r="H3" s="141">
        <v>0</v>
      </c>
      <c r="I3" s="205"/>
      <c r="J3" s="62">
        <f aca="true" t="shared" si="0" ref="J3:J24">SUM(D3:I3)</f>
        <v>231</v>
      </c>
    </row>
    <row r="4" spans="1:10" ht="19.5" customHeight="1">
      <c r="A4" s="41">
        <v>3</v>
      </c>
      <c r="B4" s="137" t="s">
        <v>434</v>
      </c>
      <c r="C4" s="138" t="s">
        <v>4</v>
      </c>
      <c r="D4" s="146">
        <f>240+40+220+180</f>
        <v>680</v>
      </c>
      <c r="E4" s="25">
        <v>64</v>
      </c>
      <c r="F4" s="10">
        <f>80</f>
        <v>80</v>
      </c>
      <c r="G4" s="99">
        <f>330</f>
        <v>330</v>
      </c>
      <c r="H4" s="141">
        <v>0</v>
      </c>
      <c r="I4" s="223">
        <f>200</f>
        <v>200</v>
      </c>
      <c r="J4" s="62">
        <f t="shared" si="0"/>
        <v>1354</v>
      </c>
    </row>
    <row r="5" spans="1:10" ht="19.5" customHeight="1">
      <c r="A5" s="41">
        <v>4</v>
      </c>
      <c r="B5" s="46" t="s">
        <v>435</v>
      </c>
      <c r="C5" s="47" t="s">
        <v>4</v>
      </c>
      <c r="D5" s="146">
        <v>17</v>
      </c>
      <c r="E5" s="25">
        <v>13.5</v>
      </c>
      <c r="F5" s="10">
        <f>18+10+20</f>
        <v>48</v>
      </c>
      <c r="G5" s="97"/>
      <c r="H5" s="141">
        <f>6+17+20+5.5+14</f>
        <v>62.5</v>
      </c>
      <c r="I5" s="205"/>
      <c r="J5" s="62">
        <f t="shared" si="0"/>
        <v>141</v>
      </c>
    </row>
    <row r="6" spans="1:10" ht="19.5" customHeight="1">
      <c r="A6" s="41">
        <v>5</v>
      </c>
      <c r="B6" s="36" t="s">
        <v>436</v>
      </c>
      <c r="C6" s="37" t="s">
        <v>16</v>
      </c>
      <c r="D6" s="146">
        <v>28</v>
      </c>
      <c r="E6" s="25">
        <v>137</v>
      </c>
      <c r="F6" s="10">
        <v>44</v>
      </c>
      <c r="G6" s="97"/>
      <c r="H6" s="141">
        <v>31</v>
      </c>
      <c r="I6" s="205"/>
      <c r="J6" s="62">
        <f t="shared" si="0"/>
        <v>240</v>
      </c>
    </row>
    <row r="7" spans="1:10" ht="19.5" customHeight="1">
      <c r="A7" s="41">
        <v>6</v>
      </c>
      <c r="B7" s="36" t="s">
        <v>437</v>
      </c>
      <c r="C7" s="37" t="s">
        <v>16</v>
      </c>
      <c r="D7" s="146">
        <v>5</v>
      </c>
      <c r="E7" s="25">
        <v>10</v>
      </c>
      <c r="F7" s="10">
        <v>10</v>
      </c>
      <c r="G7" s="97"/>
      <c r="H7" s="141">
        <v>20</v>
      </c>
      <c r="I7" s="205"/>
      <c r="J7" s="62">
        <f t="shared" si="0"/>
        <v>45</v>
      </c>
    </row>
    <row r="8" spans="1:10" ht="19.5" customHeight="1">
      <c r="A8" s="41">
        <v>7</v>
      </c>
      <c r="B8" s="36" t="s">
        <v>438</v>
      </c>
      <c r="C8" s="37" t="s">
        <v>70</v>
      </c>
      <c r="D8" s="146">
        <v>10</v>
      </c>
      <c r="E8" s="25">
        <f>11</f>
        <v>11</v>
      </c>
      <c r="F8" s="10">
        <v>0</v>
      </c>
      <c r="G8" s="99">
        <f>11</f>
        <v>11</v>
      </c>
      <c r="H8" s="141">
        <v>0</v>
      </c>
      <c r="I8" s="223">
        <f>20</f>
        <v>20</v>
      </c>
      <c r="J8" s="62">
        <f t="shared" si="0"/>
        <v>52</v>
      </c>
    </row>
    <row r="9" spans="1:10" ht="19.5" customHeight="1">
      <c r="A9" s="41">
        <v>8</v>
      </c>
      <c r="B9" s="46" t="s">
        <v>439</v>
      </c>
      <c r="C9" s="47" t="s">
        <v>43</v>
      </c>
      <c r="D9" s="146">
        <v>37</v>
      </c>
      <c r="E9" s="25">
        <v>0</v>
      </c>
      <c r="F9" s="10">
        <v>30</v>
      </c>
      <c r="G9" s="97"/>
      <c r="H9" s="141">
        <v>0</v>
      </c>
      <c r="I9" s="205"/>
      <c r="J9" s="62">
        <f t="shared" si="0"/>
        <v>67</v>
      </c>
    </row>
    <row r="10" spans="1:10" ht="19.5" customHeight="1">
      <c r="A10" s="41">
        <v>9</v>
      </c>
      <c r="B10" s="36" t="s">
        <v>440</v>
      </c>
      <c r="C10" s="37" t="s">
        <v>4</v>
      </c>
      <c r="D10" s="146">
        <v>180</v>
      </c>
      <c r="E10" s="25">
        <f>116+80+108</f>
        <v>304</v>
      </c>
      <c r="F10" s="10">
        <v>445</v>
      </c>
      <c r="G10" s="97"/>
      <c r="H10" s="141">
        <v>0</v>
      </c>
      <c r="I10" s="223">
        <f>240</f>
        <v>240</v>
      </c>
      <c r="J10" s="62">
        <f t="shared" si="0"/>
        <v>1169</v>
      </c>
    </row>
    <row r="11" spans="1:10" ht="19.5" customHeight="1">
      <c r="A11" s="41">
        <v>10</v>
      </c>
      <c r="B11" s="46" t="s">
        <v>441</v>
      </c>
      <c r="C11" s="47" t="s">
        <v>81</v>
      </c>
      <c r="D11" s="146">
        <v>0</v>
      </c>
      <c r="E11" s="25">
        <v>8</v>
      </c>
      <c r="F11" s="10">
        <v>26</v>
      </c>
      <c r="G11" s="97"/>
      <c r="H11" s="141">
        <v>30.5</v>
      </c>
      <c r="I11" s="205"/>
      <c r="J11" s="62">
        <f t="shared" si="0"/>
        <v>64.5</v>
      </c>
    </row>
    <row r="12" spans="1:10" ht="19.5" customHeight="1">
      <c r="A12" s="41">
        <v>11</v>
      </c>
      <c r="B12" s="46" t="s">
        <v>442</v>
      </c>
      <c r="C12" s="47" t="s">
        <v>65</v>
      </c>
      <c r="D12" s="146">
        <v>60</v>
      </c>
      <c r="E12" s="25">
        <v>8</v>
      </c>
      <c r="F12" s="10">
        <v>148</v>
      </c>
      <c r="G12" s="97"/>
      <c r="H12" s="141">
        <f>9+39</f>
        <v>48</v>
      </c>
      <c r="I12" s="205"/>
      <c r="J12" s="62">
        <f t="shared" si="0"/>
        <v>264</v>
      </c>
    </row>
    <row r="13" spans="1:10" ht="19.5" customHeight="1">
      <c r="A13" s="41">
        <v>12</v>
      </c>
      <c r="B13" s="36" t="s">
        <v>443</v>
      </c>
      <c r="C13" s="37" t="s">
        <v>4</v>
      </c>
      <c r="D13" s="146">
        <v>15</v>
      </c>
      <c r="E13" s="25">
        <v>4</v>
      </c>
      <c r="F13" s="10">
        <v>62</v>
      </c>
      <c r="G13" s="97"/>
      <c r="H13" s="141">
        <f>18.5+11.5+11</f>
        <v>41</v>
      </c>
      <c r="I13" s="205"/>
      <c r="J13" s="62">
        <f t="shared" si="0"/>
        <v>122</v>
      </c>
    </row>
    <row r="14" spans="1:10" ht="19.5" customHeight="1">
      <c r="A14" s="41">
        <v>13</v>
      </c>
      <c r="B14" s="46" t="s">
        <v>420</v>
      </c>
      <c r="C14" s="47" t="s">
        <v>40</v>
      </c>
      <c r="D14" s="146">
        <v>103</v>
      </c>
      <c r="E14" s="25">
        <v>102.5</v>
      </c>
      <c r="F14" s="10">
        <v>0</v>
      </c>
      <c r="G14" s="99">
        <f>90</f>
        <v>90</v>
      </c>
      <c r="H14" s="141">
        <v>0</v>
      </c>
      <c r="I14" s="223">
        <f>120</f>
        <v>120</v>
      </c>
      <c r="J14" s="62">
        <f t="shared" si="0"/>
        <v>415.5</v>
      </c>
    </row>
    <row r="15" spans="1:10" ht="19.5" customHeight="1">
      <c r="A15" s="41">
        <v>14</v>
      </c>
      <c r="B15" s="46" t="s">
        <v>444</v>
      </c>
      <c r="C15" s="47" t="s">
        <v>423</v>
      </c>
      <c r="D15" s="146">
        <v>960</v>
      </c>
      <c r="E15" s="25">
        <f>40+12</f>
        <v>52</v>
      </c>
      <c r="F15" s="10">
        <f>6+96</f>
        <v>102</v>
      </c>
      <c r="G15" s="97"/>
      <c r="H15" s="141">
        <v>13</v>
      </c>
      <c r="I15" s="205"/>
      <c r="J15" s="62">
        <f t="shared" si="0"/>
        <v>1127</v>
      </c>
    </row>
    <row r="16" spans="1:10" ht="19.5" customHeight="1">
      <c r="A16" s="41">
        <v>15</v>
      </c>
      <c r="B16" s="46" t="s">
        <v>445</v>
      </c>
      <c r="C16" s="47" t="s">
        <v>49</v>
      </c>
      <c r="D16" s="149">
        <v>78</v>
      </c>
      <c r="E16" s="25">
        <v>92</v>
      </c>
      <c r="F16" s="185">
        <v>112.5</v>
      </c>
      <c r="G16" s="99"/>
      <c r="H16" s="141">
        <v>0</v>
      </c>
      <c r="I16" s="223"/>
      <c r="J16" s="62">
        <f t="shared" si="0"/>
        <v>282.5</v>
      </c>
    </row>
    <row r="17" spans="1:10" ht="19.5" customHeight="1">
      <c r="A17" s="41">
        <v>16</v>
      </c>
      <c r="B17" s="46" t="s">
        <v>84</v>
      </c>
      <c r="C17" s="47" t="s">
        <v>85</v>
      </c>
      <c r="D17" s="146">
        <v>0</v>
      </c>
      <c r="E17" s="25">
        <v>5.5</v>
      </c>
      <c r="F17" s="10">
        <v>0</v>
      </c>
      <c r="G17" s="97"/>
      <c r="H17" s="141">
        <v>0</v>
      </c>
      <c r="I17" s="205"/>
      <c r="J17" s="62">
        <f t="shared" si="0"/>
        <v>5.5</v>
      </c>
    </row>
    <row r="18" spans="1:10" ht="19.5" customHeight="1">
      <c r="A18" s="41">
        <v>17</v>
      </c>
      <c r="B18" s="36" t="s">
        <v>446</v>
      </c>
      <c r="C18" s="37" t="s">
        <v>75</v>
      </c>
      <c r="D18" s="146">
        <v>20</v>
      </c>
      <c r="E18" s="25">
        <v>8.5</v>
      </c>
      <c r="F18" s="10">
        <v>22</v>
      </c>
      <c r="G18" s="97"/>
      <c r="H18" s="141">
        <v>5</v>
      </c>
      <c r="I18" s="205"/>
      <c r="J18" s="62">
        <f t="shared" si="0"/>
        <v>55.5</v>
      </c>
    </row>
    <row r="19" spans="1:10" ht="19.5" customHeight="1">
      <c r="A19" s="41">
        <v>18</v>
      </c>
      <c r="B19" s="46" t="s">
        <v>447</v>
      </c>
      <c r="C19" s="47" t="s">
        <v>448</v>
      </c>
      <c r="D19" s="146">
        <v>19</v>
      </c>
      <c r="E19" s="25">
        <v>10</v>
      </c>
      <c r="F19" s="10">
        <v>0</v>
      </c>
      <c r="G19" s="97"/>
      <c r="H19" s="141">
        <v>0</v>
      </c>
      <c r="I19" s="205"/>
      <c r="J19" s="62">
        <f t="shared" si="0"/>
        <v>29</v>
      </c>
    </row>
    <row r="20" spans="1:10" ht="19.5" customHeight="1">
      <c r="A20" s="41">
        <v>19</v>
      </c>
      <c r="B20" s="46" t="s">
        <v>449</v>
      </c>
      <c r="C20" s="47" t="s">
        <v>86</v>
      </c>
      <c r="D20" s="146">
        <v>45</v>
      </c>
      <c r="E20" s="25">
        <v>45</v>
      </c>
      <c r="F20" s="10">
        <f>102+28</f>
        <v>130</v>
      </c>
      <c r="G20" s="97"/>
      <c r="H20" s="141">
        <v>88</v>
      </c>
      <c r="I20" s="205"/>
      <c r="J20" s="62">
        <f t="shared" si="0"/>
        <v>308</v>
      </c>
    </row>
    <row r="21" spans="1:10" ht="19.5" customHeight="1">
      <c r="A21" s="41">
        <v>20</v>
      </c>
      <c r="B21" s="36" t="s">
        <v>450</v>
      </c>
      <c r="C21" s="37" t="s">
        <v>23</v>
      </c>
      <c r="D21" s="146">
        <v>34</v>
      </c>
      <c r="E21" s="25">
        <v>46.5</v>
      </c>
      <c r="F21" s="10">
        <v>40</v>
      </c>
      <c r="G21" s="97"/>
      <c r="H21" s="141">
        <v>52</v>
      </c>
      <c r="I21" s="205"/>
      <c r="J21" s="62">
        <f t="shared" si="0"/>
        <v>172.5</v>
      </c>
    </row>
    <row r="22" spans="1:10" ht="19.5" customHeight="1">
      <c r="A22" s="41">
        <v>21</v>
      </c>
      <c r="B22" s="36" t="s">
        <v>451</v>
      </c>
      <c r="C22" s="37" t="s">
        <v>22</v>
      </c>
      <c r="D22" s="146">
        <v>75</v>
      </c>
      <c r="E22" s="25">
        <v>18</v>
      </c>
      <c r="F22" s="10">
        <v>61.5</v>
      </c>
      <c r="G22" s="97"/>
      <c r="H22" s="141">
        <v>10</v>
      </c>
      <c r="I22" s="205"/>
      <c r="J22" s="62">
        <f t="shared" si="0"/>
        <v>164.5</v>
      </c>
    </row>
    <row r="23" spans="1:10" ht="19.5" customHeight="1">
      <c r="A23" s="41">
        <v>22</v>
      </c>
      <c r="B23" s="46" t="s">
        <v>88</v>
      </c>
      <c r="C23" s="47" t="s">
        <v>73</v>
      </c>
      <c r="D23" s="147">
        <v>100</v>
      </c>
      <c r="E23" s="166">
        <v>130</v>
      </c>
      <c r="F23" s="11">
        <v>180</v>
      </c>
      <c r="G23" s="102"/>
      <c r="H23" s="208">
        <v>250</v>
      </c>
      <c r="I23" s="231"/>
      <c r="J23" s="62">
        <f t="shared" si="0"/>
        <v>660</v>
      </c>
    </row>
    <row r="24" spans="1:10" ht="19.5" customHeight="1" thickBot="1">
      <c r="A24" s="7">
        <v>23</v>
      </c>
      <c r="B24" s="48" t="s">
        <v>452</v>
      </c>
      <c r="C24" s="49" t="s">
        <v>73</v>
      </c>
      <c r="D24" s="148">
        <v>0</v>
      </c>
      <c r="E24" s="26">
        <v>23</v>
      </c>
      <c r="F24" s="12">
        <v>9</v>
      </c>
      <c r="G24" s="101"/>
      <c r="H24" s="142">
        <v>5</v>
      </c>
      <c r="I24" s="227">
        <f>80</f>
        <v>80</v>
      </c>
      <c r="J24" s="63">
        <f t="shared" si="0"/>
        <v>117</v>
      </c>
    </row>
    <row r="25" spans="1:10" s="64" customFormat="1" ht="15.75">
      <c r="A25" s="73"/>
      <c r="B25" s="68" t="s">
        <v>347</v>
      </c>
      <c r="D25" s="65"/>
      <c r="E25" s="69"/>
      <c r="F25" s="69"/>
      <c r="G25" s="65"/>
      <c r="H25" s="65"/>
      <c r="I25" s="65"/>
      <c r="J25" s="65">
        <f>SUM(D25:I25)</f>
        <v>0</v>
      </c>
    </row>
    <row r="26" spans="4:9" ht="15.75" thickBot="1">
      <c r="D26" s="14"/>
      <c r="E26" s="13"/>
      <c r="F26" s="189" t="s">
        <v>466</v>
      </c>
      <c r="G26" s="189" t="s">
        <v>467</v>
      </c>
      <c r="H26" s="189" t="s">
        <v>466</v>
      </c>
      <c r="I26" s="189" t="s">
        <v>467</v>
      </c>
    </row>
    <row r="27" spans="1:11" s="23" customFormat="1" ht="16.5" thickBot="1">
      <c r="A27" s="22"/>
      <c r="B27" s="78" t="s">
        <v>263</v>
      </c>
      <c r="D27" s="193">
        <f>SUM(D2:D26)</f>
        <v>2562</v>
      </c>
      <c r="E27" s="196">
        <f>SUM(E2:E26)</f>
        <v>1192.5</v>
      </c>
      <c r="F27" s="262">
        <f>SUM(F2:G25)</f>
        <v>2043</v>
      </c>
      <c r="G27" s="260"/>
      <c r="H27" s="259">
        <f>SUM(H2:I25)</f>
        <v>1521</v>
      </c>
      <c r="I27" s="260"/>
      <c r="J27" s="77">
        <f>SUM(J2:J26)</f>
        <v>7318.5</v>
      </c>
      <c r="K27" s="176"/>
    </row>
    <row r="29" ht="12.75">
      <c r="F29" s="17"/>
    </row>
    <row r="30" spans="5:6" ht="12.75">
      <c r="E30" s="13"/>
      <c r="F30" t="s">
        <v>302</v>
      </c>
    </row>
  </sheetData>
  <mergeCells count="4">
    <mergeCell ref="F1:G1"/>
    <mergeCell ref="F27:G27"/>
    <mergeCell ref="H1:I1"/>
    <mergeCell ref="H27:I27"/>
  </mergeCells>
  <printOptions/>
  <pageMargins left="0.75" right="0.75" top="1" bottom="1" header="0.4921259845" footer="0.4921259845"/>
  <pageSetup fitToHeight="1" fitToWidth="1" horizontalDpi="300" verticalDpi="300" orientation="landscape" paperSize="9" scale="81" r:id="rId1"/>
  <headerFooter alignWithMargins="0">
    <oddHeader>&amp;C&amp;"Arial,Tučné"&amp;16Sběr 2009 - 2010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J2" sqref="J2:J27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4.28125" style="1" customWidth="1"/>
    <col min="7" max="9" width="12.421875" style="1" customWidth="1"/>
    <col min="10" max="10" width="15.7109375" style="0" customWidth="1"/>
  </cols>
  <sheetData>
    <row r="1" spans="1:10" ht="24.75" customHeight="1" thickBot="1">
      <c r="A1" s="199" t="s">
        <v>207</v>
      </c>
      <c r="B1" s="8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5">
        <v>1</v>
      </c>
      <c r="B2" s="44" t="s">
        <v>90</v>
      </c>
      <c r="C2" s="45" t="s">
        <v>72</v>
      </c>
      <c r="D2" s="150">
        <v>0</v>
      </c>
      <c r="E2" s="171">
        <v>0</v>
      </c>
      <c r="F2" s="168">
        <v>32</v>
      </c>
      <c r="G2" s="103"/>
      <c r="H2" s="217">
        <v>10</v>
      </c>
      <c r="I2" s="232"/>
      <c r="J2" s="61">
        <f>SUM(D2:I2)</f>
        <v>42</v>
      </c>
    </row>
    <row r="3" spans="1:10" ht="19.5" customHeight="1">
      <c r="A3" s="6">
        <v>2</v>
      </c>
      <c r="B3" s="46" t="s">
        <v>37</v>
      </c>
      <c r="C3" s="47" t="s">
        <v>69</v>
      </c>
      <c r="D3" s="146">
        <v>43</v>
      </c>
      <c r="E3" s="172">
        <f>84+102</f>
        <v>186</v>
      </c>
      <c r="F3" s="169">
        <v>105</v>
      </c>
      <c r="G3" s="104"/>
      <c r="H3" s="218">
        <v>128</v>
      </c>
      <c r="I3" s="233"/>
      <c r="J3" s="62">
        <f aca="true" t="shared" si="0" ref="J3:J27">SUM(D3:I3)</f>
        <v>462</v>
      </c>
    </row>
    <row r="4" spans="1:10" ht="19.5" customHeight="1">
      <c r="A4" s="6">
        <v>3</v>
      </c>
      <c r="B4" s="46" t="s">
        <v>91</v>
      </c>
      <c r="C4" s="47" t="s">
        <v>92</v>
      </c>
      <c r="D4" s="146">
        <v>2</v>
      </c>
      <c r="E4" s="172">
        <v>4</v>
      </c>
      <c r="F4" s="169">
        <v>2</v>
      </c>
      <c r="G4" s="104"/>
      <c r="H4" s="218">
        <v>0</v>
      </c>
      <c r="I4" s="233"/>
      <c r="J4" s="62">
        <f t="shared" si="0"/>
        <v>8</v>
      </c>
    </row>
    <row r="5" spans="1:10" ht="19.5" customHeight="1">
      <c r="A5" s="6">
        <v>4</v>
      </c>
      <c r="B5" s="46" t="s">
        <v>91</v>
      </c>
      <c r="C5" s="47" t="s">
        <v>56</v>
      </c>
      <c r="D5" s="146">
        <v>0</v>
      </c>
      <c r="E5" s="172">
        <f>300</f>
        <v>300</v>
      </c>
      <c r="F5" s="169">
        <v>8</v>
      </c>
      <c r="G5" s="105"/>
      <c r="H5" s="218">
        <v>9.5</v>
      </c>
      <c r="I5" s="234">
        <f>240</f>
        <v>240</v>
      </c>
      <c r="J5" s="62">
        <f t="shared" si="0"/>
        <v>557.5</v>
      </c>
    </row>
    <row r="6" spans="1:10" ht="19.5" customHeight="1">
      <c r="A6" s="6">
        <v>5</v>
      </c>
      <c r="B6" s="46" t="s">
        <v>93</v>
      </c>
      <c r="C6" s="47" t="s">
        <v>77</v>
      </c>
      <c r="D6" s="146">
        <v>16</v>
      </c>
      <c r="E6" s="172">
        <v>15.5</v>
      </c>
      <c r="F6" s="169">
        <v>10.5</v>
      </c>
      <c r="G6" s="104"/>
      <c r="H6" s="218">
        <v>17</v>
      </c>
      <c r="I6" s="233"/>
      <c r="J6" s="62">
        <f t="shared" si="0"/>
        <v>59</v>
      </c>
    </row>
    <row r="7" spans="1:10" ht="19.5" customHeight="1">
      <c r="A7" s="6"/>
      <c r="B7" s="46" t="s">
        <v>453</v>
      </c>
      <c r="C7" s="47" t="s">
        <v>454</v>
      </c>
      <c r="D7" s="146">
        <v>10</v>
      </c>
      <c r="E7" s="172">
        <v>155</v>
      </c>
      <c r="F7" s="169" t="s">
        <v>405</v>
      </c>
      <c r="G7" s="190">
        <f>160</f>
        <v>160</v>
      </c>
      <c r="H7" s="248">
        <v>0</v>
      </c>
      <c r="I7" s="235"/>
      <c r="J7" s="62">
        <f t="shared" si="0"/>
        <v>325</v>
      </c>
    </row>
    <row r="8" spans="1:10" ht="19.5" customHeight="1">
      <c r="A8" s="6">
        <v>6</v>
      </c>
      <c r="B8" s="46" t="s">
        <v>13</v>
      </c>
      <c r="C8" s="47" t="s">
        <v>8</v>
      </c>
      <c r="D8" s="146">
        <v>9</v>
      </c>
      <c r="E8" s="172">
        <v>7</v>
      </c>
      <c r="F8" s="169">
        <v>15.5</v>
      </c>
      <c r="G8" s="104"/>
      <c r="H8" s="218">
        <v>8.5</v>
      </c>
      <c r="I8" s="233"/>
      <c r="J8" s="62">
        <f t="shared" si="0"/>
        <v>40</v>
      </c>
    </row>
    <row r="9" spans="1:10" ht="19.5" customHeight="1">
      <c r="A9" s="6">
        <v>7</v>
      </c>
      <c r="B9" s="46" t="s">
        <v>94</v>
      </c>
      <c r="C9" s="47" t="s">
        <v>4</v>
      </c>
      <c r="D9" s="146">
        <v>0</v>
      </c>
      <c r="E9" s="172">
        <v>0</v>
      </c>
      <c r="F9" s="169">
        <v>0</v>
      </c>
      <c r="G9" s="105"/>
      <c r="H9" s="218">
        <v>0</v>
      </c>
      <c r="I9" s="234"/>
      <c r="J9" s="62">
        <f t="shared" si="0"/>
        <v>0</v>
      </c>
    </row>
    <row r="10" spans="1:10" ht="19.5" customHeight="1">
      <c r="A10" s="6">
        <v>8</v>
      </c>
      <c r="B10" s="46" t="s">
        <v>97</v>
      </c>
      <c r="C10" s="47" t="s">
        <v>45</v>
      </c>
      <c r="D10" s="149">
        <f>3+140</f>
        <v>143</v>
      </c>
      <c r="E10" s="172">
        <f>520+3</f>
        <v>523</v>
      </c>
      <c r="F10" s="169">
        <v>0</v>
      </c>
      <c r="G10" s="105">
        <f>150+121</f>
        <v>271</v>
      </c>
      <c r="H10" s="218">
        <v>3</v>
      </c>
      <c r="I10" s="234">
        <f>50</f>
        <v>50</v>
      </c>
      <c r="J10" s="62">
        <f t="shared" si="0"/>
        <v>990</v>
      </c>
    </row>
    <row r="11" spans="1:10" ht="19.5" customHeight="1">
      <c r="A11" s="6">
        <v>9</v>
      </c>
      <c r="B11" s="46" t="s">
        <v>74</v>
      </c>
      <c r="C11" s="47" t="s">
        <v>47</v>
      </c>
      <c r="D11" s="146">
        <v>46</v>
      </c>
      <c r="E11" s="172">
        <v>0</v>
      </c>
      <c r="F11" s="169">
        <v>0</v>
      </c>
      <c r="G11" s="104"/>
      <c r="H11" s="218">
        <v>46.5</v>
      </c>
      <c r="I11" s="234">
        <f>170</f>
        <v>170</v>
      </c>
      <c r="J11" s="62">
        <f t="shared" si="0"/>
        <v>262.5</v>
      </c>
    </row>
    <row r="12" spans="1:10" ht="19.5" customHeight="1">
      <c r="A12" s="6"/>
      <c r="B12" s="46" t="s">
        <v>344</v>
      </c>
      <c r="C12" s="47" t="s">
        <v>345</v>
      </c>
      <c r="D12" s="146">
        <v>6</v>
      </c>
      <c r="E12" s="172">
        <v>0</v>
      </c>
      <c r="F12" s="169" t="s">
        <v>405</v>
      </c>
      <c r="G12" s="104"/>
      <c r="H12" s="218">
        <v>0</v>
      </c>
      <c r="I12" s="233"/>
      <c r="J12" s="62">
        <f t="shared" si="0"/>
        <v>6</v>
      </c>
    </row>
    <row r="13" spans="1:10" ht="19.5" customHeight="1">
      <c r="A13" s="6">
        <v>10</v>
      </c>
      <c r="B13" s="46" t="s">
        <v>100</v>
      </c>
      <c r="C13" s="47" t="s">
        <v>101</v>
      </c>
      <c r="D13" s="146">
        <v>28</v>
      </c>
      <c r="E13" s="172">
        <v>66.5</v>
      </c>
      <c r="F13" s="169">
        <v>143</v>
      </c>
      <c r="G13" s="104"/>
      <c r="H13" s="218">
        <v>82</v>
      </c>
      <c r="I13" s="233"/>
      <c r="J13" s="62">
        <f t="shared" si="0"/>
        <v>319.5</v>
      </c>
    </row>
    <row r="14" spans="1:10" ht="19.5" customHeight="1">
      <c r="A14" s="6">
        <v>11</v>
      </c>
      <c r="B14" s="46" t="s">
        <v>102</v>
      </c>
      <c r="C14" s="47" t="s">
        <v>75</v>
      </c>
      <c r="D14" s="146">
        <v>6</v>
      </c>
      <c r="E14" s="172">
        <v>14</v>
      </c>
      <c r="F14" s="169">
        <v>11</v>
      </c>
      <c r="G14" s="104"/>
      <c r="H14" s="218">
        <v>13</v>
      </c>
      <c r="I14" s="233"/>
      <c r="J14" s="62">
        <f t="shared" si="0"/>
        <v>44</v>
      </c>
    </row>
    <row r="15" spans="1:10" ht="19.5" customHeight="1">
      <c r="A15" s="6">
        <v>12</v>
      </c>
      <c r="B15" s="46" t="s">
        <v>103</v>
      </c>
      <c r="C15" s="47" t="s">
        <v>47</v>
      </c>
      <c r="D15" s="146">
        <v>0</v>
      </c>
      <c r="E15" s="172">
        <v>27</v>
      </c>
      <c r="F15" s="169">
        <v>32</v>
      </c>
      <c r="G15" s="104"/>
      <c r="H15" s="218">
        <v>18</v>
      </c>
      <c r="I15" s="233"/>
      <c r="J15" s="62">
        <f t="shared" si="0"/>
        <v>77</v>
      </c>
    </row>
    <row r="16" spans="1:10" ht="19.5" customHeight="1">
      <c r="A16" s="6">
        <v>13</v>
      </c>
      <c r="B16" s="46" t="s">
        <v>104</v>
      </c>
      <c r="C16" s="47" t="s">
        <v>105</v>
      </c>
      <c r="D16" s="146">
        <v>290</v>
      </c>
      <c r="E16" s="172">
        <v>235</v>
      </c>
      <c r="F16" s="169">
        <v>210</v>
      </c>
      <c r="G16" s="104"/>
      <c r="H16" s="218">
        <v>150</v>
      </c>
      <c r="I16" s="233"/>
      <c r="J16" s="62">
        <f t="shared" si="0"/>
        <v>885</v>
      </c>
    </row>
    <row r="17" spans="1:10" ht="19.5" customHeight="1">
      <c r="A17" s="6">
        <v>14</v>
      </c>
      <c r="B17" s="46" t="s">
        <v>106</v>
      </c>
      <c r="C17" s="47" t="s">
        <v>107</v>
      </c>
      <c r="D17" s="146">
        <v>8</v>
      </c>
      <c r="E17" s="172">
        <v>15</v>
      </c>
      <c r="F17" s="169">
        <v>10</v>
      </c>
      <c r="G17" s="104"/>
      <c r="H17" s="218">
        <v>31</v>
      </c>
      <c r="I17" s="233"/>
      <c r="J17" s="62">
        <f t="shared" si="0"/>
        <v>64</v>
      </c>
    </row>
    <row r="18" spans="1:15" ht="19.5" customHeight="1">
      <c r="A18" s="6">
        <v>15</v>
      </c>
      <c r="B18" s="46" t="s">
        <v>106</v>
      </c>
      <c r="C18" s="47" t="s">
        <v>108</v>
      </c>
      <c r="D18" s="147">
        <v>8</v>
      </c>
      <c r="E18" s="173">
        <v>15</v>
      </c>
      <c r="F18" s="170">
        <v>10</v>
      </c>
      <c r="G18" s="106"/>
      <c r="H18" s="219">
        <v>31</v>
      </c>
      <c r="I18" s="236"/>
      <c r="J18" s="62">
        <f t="shared" si="0"/>
        <v>64</v>
      </c>
      <c r="O18" s="19"/>
    </row>
    <row r="19" spans="1:10" ht="19.5" customHeight="1">
      <c r="A19" s="6">
        <v>16</v>
      </c>
      <c r="B19" s="46" t="s">
        <v>109</v>
      </c>
      <c r="C19" s="47" t="s">
        <v>25</v>
      </c>
      <c r="D19" s="147">
        <v>15</v>
      </c>
      <c r="E19" s="173">
        <v>3.5</v>
      </c>
      <c r="F19" s="170">
        <v>58</v>
      </c>
      <c r="G19" s="106"/>
      <c r="H19" s="219">
        <v>45.5</v>
      </c>
      <c r="I19" s="236"/>
      <c r="J19" s="62">
        <f t="shared" si="0"/>
        <v>122</v>
      </c>
    </row>
    <row r="20" spans="1:10" ht="19.5" customHeight="1">
      <c r="A20" s="6">
        <v>17</v>
      </c>
      <c r="B20" s="46" t="s">
        <v>110</v>
      </c>
      <c r="C20" s="47" t="s">
        <v>101</v>
      </c>
      <c r="D20" s="147">
        <v>240</v>
      </c>
      <c r="E20" s="173">
        <f>340</f>
        <v>340</v>
      </c>
      <c r="F20" s="170">
        <v>0</v>
      </c>
      <c r="G20" s="216">
        <f>140+320</f>
        <v>460</v>
      </c>
      <c r="H20" s="219">
        <v>0</v>
      </c>
      <c r="I20" s="237">
        <v>200</v>
      </c>
      <c r="J20" s="62">
        <f t="shared" si="0"/>
        <v>1240</v>
      </c>
    </row>
    <row r="21" spans="1:10" ht="19.5" customHeight="1">
      <c r="A21" s="6">
        <v>18</v>
      </c>
      <c r="B21" s="46" t="s">
        <v>346</v>
      </c>
      <c r="C21" s="47" t="s">
        <v>12</v>
      </c>
      <c r="D21" s="146">
        <v>7.5</v>
      </c>
      <c r="E21" s="172">
        <v>41</v>
      </c>
      <c r="F21" s="169">
        <v>40</v>
      </c>
      <c r="G21" s="104"/>
      <c r="H21" s="218">
        <v>28</v>
      </c>
      <c r="I21" s="233"/>
      <c r="J21" s="62">
        <f t="shared" si="0"/>
        <v>116.5</v>
      </c>
    </row>
    <row r="22" spans="1:10" ht="19.5" customHeight="1">
      <c r="A22" s="6">
        <v>19</v>
      </c>
      <c r="B22" s="46" t="s">
        <v>111</v>
      </c>
      <c r="C22" s="47" t="s">
        <v>23</v>
      </c>
      <c r="D22" s="146">
        <v>0</v>
      </c>
      <c r="E22" s="172">
        <v>5</v>
      </c>
      <c r="F22" s="169">
        <v>0</v>
      </c>
      <c r="G22" s="104"/>
      <c r="H22" s="218">
        <v>19.5</v>
      </c>
      <c r="I22" s="233"/>
      <c r="J22" s="62">
        <f t="shared" si="0"/>
        <v>24.5</v>
      </c>
    </row>
    <row r="23" spans="1:10" ht="19.5" customHeight="1">
      <c r="A23" s="6">
        <v>20</v>
      </c>
      <c r="B23" s="46" t="s">
        <v>348</v>
      </c>
      <c r="C23" s="47" t="s">
        <v>85</v>
      </c>
      <c r="D23" s="146">
        <v>0</v>
      </c>
      <c r="E23" s="172">
        <v>0</v>
      </c>
      <c r="F23" s="169">
        <v>0</v>
      </c>
      <c r="G23" s="104"/>
      <c r="H23" s="218">
        <v>0</v>
      </c>
      <c r="I23" s="233"/>
      <c r="J23" s="62">
        <f t="shared" si="0"/>
        <v>0</v>
      </c>
    </row>
    <row r="24" spans="1:10" ht="19.5" customHeight="1">
      <c r="A24" s="6">
        <v>21</v>
      </c>
      <c r="B24" s="46" t="s">
        <v>112</v>
      </c>
      <c r="C24" s="47" t="s">
        <v>16</v>
      </c>
      <c r="D24" s="146">
        <v>19</v>
      </c>
      <c r="E24" s="172">
        <v>5</v>
      </c>
      <c r="F24" s="169">
        <v>66</v>
      </c>
      <c r="G24" s="104"/>
      <c r="H24" s="218">
        <v>9</v>
      </c>
      <c r="I24" s="233"/>
      <c r="J24" s="62">
        <f t="shared" si="0"/>
        <v>99</v>
      </c>
    </row>
    <row r="25" spans="1:10" ht="19.5" customHeight="1">
      <c r="A25" s="6">
        <v>22</v>
      </c>
      <c r="B25" s="46" t="s">
        <v>113</v>
      </c>
      <c r="C25" s="47" t="s">
        <v>114</v>
      </c>
      <c r="D25" s="146">
        <v>0</v>
      </c>
      <c r="E25" s="172">
        <v>0</v>
      </c>
      <c r="F25" s="169">
        <v>0</v>
      </c>
      <c r="G25" s="104"/>
      <c r="H25" s="218">
        <v>10.5</v>
      </c>
      <c r="I25" s="233"/>
      <c r="J25" s="62">
        <f t="shared" si="0"/>
        <v>10.5</v>
      </c>
    </row>
    <row r="26" spans="1:10" ht="19.5" customHeight="1">
      <c r="A26" s="6">
        <v>23</v>
      </c>
      <c r="B26" s="46" t="s">
        <v>115</v>
      </c>
      <c r="C26" s="47" t="s">
        <v>101</v>
      </c>
      <c r="D26" s="146">
        <v>163</v>
      </c>
      <c r="E26" s="172">
        <v>230.5</v>
      </c>
      <c r="F26" s="187">
        <v>207</v>
      </c>
      <c r="G26" s="105"/>
      <c r="H26" s="218">
        <v>164</v>
      </c>
      <c r="I26" s="234">
        <f>100</f>
        <v>100</v>
      </c>
      <c r="J26" s="62">
        <f t="shared" si="0"/>
        <v>864.5</v>
      </c>
    </row>
    <row r="27" spans="1:10" ht="19.5" customHeight="1" thickBot="1">
      <c r="A27" s="7">
        <v>24</v>
      </c>
      <c r="B27" s="140" t="s">
        <v>116</v>
      </c>
      <c r="C27" s="50" t="s">
        <v>14</v>
      </c>
      <c r="D27" s="167">
        <v>140</v>
      </c>
      <c r="E27" s="174">
        <v>4.5</v>
      </c>
      <c r="F27" s="184">
        <v>10</v>
      </c>
      <c r="G27" s="107">
        <f>80</f>
        <v>80</v>
      </c>
      <c r="H27" s="249">
        <v>10.5</v>
      </c>
      <c r="I27" s="238"/>
      <c r="J27" s="63">
        <f t="shared" si="0"/>
        <v>245</v>
      </c>
    </row>
    <row r="28" spans="1:10" s="64" customFormat="1" ht="15.75">
      <c r="A28" s="73"/>
      <c r="B28" s="68" t="s">
        <v>347</v>
      </c>
      <c r="D28" s="65"/>
      <c r="E28" s="175">
        <v>25.5</v>
      </c>
      <c r="F28" s="108">
        <v>20</v>
      </c>
      <c r="G28" s="109"/>
      <c r="H28" s="109"/>
      <c r="I28" s="109">
        <f>39+5</f>
        <v>44</v>
      </c>
      <c r="J28" s="65">
        <f>SUM(D28:I28)</f>
        <v>89.5</v>
      </c>
    </row>
    <row r="29" spans="1:9" s="64" customFormat="1" ht="16.5" thickBot="1">
      <c r="A29" s="73"/>
      <c r="B29" s="68"/>
      <c r="D29" s="65"/>
      <c r="E29" s="74"/>
      <c r="F29" s="189" t="s">
        <v>466</v>
      </c>
      <c r="G29" s="189" t="s">
        <v>467</v>
      </c>
      <c r="H29" s="189" t="s">
        <v>466</v>
      </c>
      <c r="I29" s="189" t="s">
        <v>467</v>
      </c>
    </row>
    <row r="30" spans="1:11" s="23" customFormat="1" ht="16.5" thickBot="1">
      <c r="A30" s="22"/>
      <c r="B30" s="78" t="s">
        <v>263</v>
      </c>
      <c r="D30" s="193">
        <f>SUM(D2:D29)</f>
        <v>1199.5</v>
      </c>
      <c r="E30" s="198">
        <f>SUM(E2:E29)</f>
        <v>2218</v>
      </c>
      <c r="F30" s="265">
        <f>SUM(F2:G28)</f>
        <v>1961</v>
      </c>
      <c r="G30" s="266"/>
      <c r="H30" s="267">
        <f>SUM(H2:I28)</f>
        <v>1638.5</v>
      </c>
      <c r="I30" s="266"/>
      <c r="J30" s="77">
        <f>SUM(J2:J29)</f>
        <v>7017</v>
      </c>
      <c r="K30" s="176"/>
    </row>
    <row r="32" spans="4:10" ht="12.75">
      <c r="D32" s="13"/>
      <c r="E32" s="95"/>
      <c r="F32" s="263"/>
      <c r="G32" s="264"/>
      <c r="J32" s="17"/>
    </row>
  </sheetData>
  <mergeCells count="5">
    <mergeCell ref="F1:G1"/>
    <mergeCell ref="F32:G32"/>
    <mergeCell ref="F30:G30"/>
    <mergeCell ref="H1:I1"/>
    <mergeCell ref="H30:I30"/>
  </mergeCells>
  <printOptions/>
  <pageMargins left="0.75" right="0.75" top="1" bottom="1" header="0.4921259845" footer="0.4921259845"/>
  <pageSetup fitToHeight="1" fitToWidth="1" horizontalDpi="300" verticalDpi="300" orientation="landscape" paperSize="9" scale="74" r:id="rId1"/>
  <headerFooter alignWithMargins="0">
    <oddHeader>&amp;C&amp;"Arial,Tučné"&amp;16Sběr 2009 - 2010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2" sqref="H2:H1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51" t="s">
        <v>254</v>
      </c>
      <c r="B1" s="8" t="s">
        <v>261</v>
      </c>
      <c r="C1" s="3" t="s">
        <v>262</v>
      </c>
      <c r="D1" s="143" t="s">
        <v>457</v>
      </c>
      <c r="E1" s="159" t="s">
        <v>460</v>
      </c>
      <c r="F1" s="191" t="s">
        <v>461</v>
      </c>
      <c r="G1" s="159" t="s">
        <v>468</v>
      </c>
      <c r="H1" s="60" t="s">
        <v>304</v>
      </c>
    </row>
    <row r="2" spans="1:8" ht="19.5" customHeight="1">
      <c r="A2" s="5">
        <v>1</v>
      </c>
      <c r="B2" s="51" t="s">
        <v>144</v>
      </c>
      <c r="C2" s="52" t="s">
        <v>30</v>
      </c>
      <c r="D2" s="150">
        <v>0</v>
      </c>
      <c r="E2" s="85">
        <v>0</v>
      </c>
      <c r="F2" s="150">
        <v>0</v>
      </c>
      <c r="G2" s="144">
        <v>2.5</v>
      </c>
      <c r="H2" s="61">
        <f>SUM(D2:G2)</f>
        <v>2.5</v>
      </c>
    </row>
    <row r="3" spans="1:8" ht="19.5" customHeight="1">
      <c r="A3" s="6">
        <v>2</v>
      </c>
      <c r="B3" s="53" t="s">
        <v>123</v>
      </c>
      <c r="C3" s="54" t="s">
        <v>124</v>
      </c>
      <c r="D3" s="146">
        <v>1</v>
      </c>
      <c r="E3" s="25">
        <v>7</v>
      </c>
      <c r="F3" s="146">
        <v>12</v>
      </c>
      <c r="G3" s="141">
        <v>8</v>
      </c>
      <c r="H3" s="62">
        <f aca="true" t="shared" si="0" ref="H3:H18">SUM(D3:G3)</f>
        <v>28</v>
      </c>
    </row>
    <row r="4" spans="1:8" ht="19.5" customHeight="1">
      <c r="A4" s="6">
        <v>3</v>
      </c>
      <c r="B4" s="53" t="s">
        <v>147</v>
      </c>
      <c r="C4" s="54" t="s">
        <v>114</v>
      </c>
      <c r="D4" s="146">
        <v>0</v>
      </c>
      <c r="E4" s="25">
        <f>9+19</f>
        <v>28</v>
      </c>
      <c r="F4" s="146">
        <v>26</v>
      </c>
      <c r="G4" s="141">
        <v>2.5</v>
      </c>
      <c r="H4" s="62">
        <f t="shared" si="0"/>
        <v>56.5</v>
      </c>
    </row>
    <row r="5" spans="1:8" ht="19.5" customHeight="1">
      <c r="A5" s="6">
        <v>4</v>
      </c>
      <c r="B5" s="53" t="s">
        <v>130</v>
      </c>
      <c r="C5" s="54" t="s">
        <v>73</v>
      </c>
      <c r="D5" s="146">
        <v>108</v>
      </c>
      <c r="E5" s="25">
        <f>3+141+48+45</f>
        <v>237</v>
      </c>
      <c r="F5" s="146">
        <v>125</v>
      </c>
      <c r="G5" s="141">
        <v>71.5</v>
      </c>
      <c r="H5" s="62">
        <f t="shared" si="0"/>
        <v>541.5</v>
      </c>
    </row>
    <row r="6" spans="1:8" ht="19.5" customHeight="1">
      <c r="A6" s="6">
        <v>5</v>
      </c>
      <c r="B6" s="53" t="s">
        <v>148</v>
      </c>
      <c r="C6" s="54" t="s">
        <v>40</v>
      </c>
      <c r="D6" s="146">
        <v>4</v>
      </c>
      <c r="E6" s="25">
        <v>0</v>
      </c>
      <c r="F6" s="146">
        <v>0</v>
      </c>
      <c r="G6" s="141">
        <v>0</v>
      </c>
      <c r="H6" s="62">
        <f t="shared" si="0"/>
        <v>4</v>
      </c>
    </row>
    <row r="7" spans="1:8" ht="19.5" customHeight="1">
      <c r="A7" s="6">
        <v>6</v>
      </c>
      <c r="B7" s="53" t="s">
        <v>149</v>
      </c>
      <c r="C7" s="54" t="s">
        <v>77</v>
      </c>
      <c r="D7" s="146">
        <v>0</v>
      </c>
      <c r="E7" s="25">
        <v>0</v>
      </c>
      <c r="F7" s="146">
        <v>0</v>
      </c>
      <c r="G7" s="141">
        <v>0</v>
      </c>
      <c r="H7" s="62">
        <f t="shared" si="0"/>
        <v>0</v>
      </c>
    </row>
    <row r="8" spans="1:8" ht="19.5" customHeight="1">
      <c r="A8" s="6">
        <v>7</v>
      </c>
      <c r="B8" s="53" t="s">
        <v>132</v>
      </c>
      <c r="C8" s="54" t="s">
        <v>52</v>
      </c>
      <c r="D8" s="146">
        <v>0</v>
      </c>
      <c r="E8" s="25">
        <v>0</v>
      </c>
      <c r="F8" s="146">
        <v>120</v>
      </c>
      <c r="G8" s="141">
        <v>0</v>
      </c>
      <c r="H8" s="62">
        <f t="shared" si="0"/>
        <v>120</v>
      </c>
    </row>
    <row r="9" spans="1:8" ht="19.5" customHeight="1">
      <c r="A9" s="6">
        <v>8</v>
      </c>
      <c r="B9" s="53" t="s">
        <v>14</v>
      </c>
      <c r="C9" s="54" t="s">
        <v>83</v>
      </c>
      <c r="D9" s="146">
        <v>0</v>
      </c>
      <c r="E9" s="25">
        <v>0</v>
      </c>
      <c r="F9" s="146">
        <v>0</v>
      </c>
      <c r="G9" s="141">
        <v>0</v>
      </c>
      <c r="H9" s="62">
        <f t="shared" si="0"/>
        <v>0</v>
      </c>
    </row>
    <row r="10" spans="1:8" ht="19.5" customHeight="1">
      <c r="A10" s="6">
        <v>9</v>
      </c>
      <c r="B10" s="53" t="s">
        <v>133</v>
      </c>
      <c r="C10" s="54" t="s">
        <v>47</v>
      </c>
      <c r="D10" s="146">
        <v>0</v>
      </c>
      <c r="E10" s="25">
        <v>155</v>
      </c>
      <c r="F10" s="146">
        <v>101</v>
      </c>
      <c r="G10" s="141">
        <f>184.5+29</f>
        <v>213.5</v>
      </c>
      <c r="H10" s="62">
        <f t="shared" si="0"/>
        <v>469.5</v>
      </c>
    </row>
    <row r="11" spans="1:8" ht="19.5" customHeight="1">
      <c r="A11" s="6">
        <v>10</v>
      </c>
      <c r="B11" s="53" t="s">
        <v>153</v>
      </c>
      <c r="C11" s="54" t="s">
        <v>78</v>
      </c>
      <c r="D11" s="146">
        <v>0</v>
      </c>
      <c r="E11" s="25">
        <v>0</v>
      </c>
      <c r="F11" s="146">
        <v>0</v>
      </c>
      <c r="G11" s="141">
        <v>0</v>
      </c>
      <c r="H11" s="62">
        <f t="shared" si="0"/>
        <v>0</v>
      </c>
    </row>
    <row r="12" spans="1:8" ht="19.5" customHeight="1">
      <c r="A12" s="6">
        <v>11</v>
      </c>
      <c r="B12" s="53" t="s">
        <v>154</v>
      </c>
      <c r="C12" s="54" t="s">
        <v>65</v>
      </c>
      <c r="D12" s="146">
        <v>39</v>
      </c>
      <c r="E12" s="25">
        <v>0</v>
      </c>
      <c r="F12" s="146">
        <v>90</v>
      </c>
      <c r="G12" s="141">
        <v>37.5</v>
      </c>
      <c r="H12" s="62">
        <f t="shared" si="0"/>
        <v>166.5</v>
      </c>
    </row>
    <row r="13" spans="1:8" ht="19.5" customHeight="1">
      <c r="A13" s="6">
        <v>12</v>
      </c>
      <c r="B13" s="53" t="s">
        <v>136</v>
      </c>
      <c r="C13" s="54" t="s">
        <v>137</v>
      </c>
      <c r="D13" s="146">
        <v>0</v>
      </c>
      <c r="E13" s="25">
        <v>0</v>
      </c>
      <c r="F13" s="146">
        <v>2</v>
      </c>
      <c r="G13" s="141">
        <v>0</v>
      </c>
      <c r="H13" s="62">
        <f t="shared" si="0"/>
        <v>2</v>
      </c>
    </row>
    <row r="14" spans="1:8" ht="19.5" customHeight="1">
      <c r="A14" s="6">
        <v>13</v>
      </c>
      <c r="B14" s="53" t="s">
        <v>138</v>
      </c>
      <c r="C14" s="54" t="s">
        <v>78</v>
      </c>
      <c r="D14" s="146">
        <v>25</v>
      </c>
      <c r="E14" s="25">
        <v>26</v>
      </c>
      <c r="F14" s="146">
        <v>85</v>
      </c>
      <c r="G14" s="141">
        <v>52</v>
      </c>
      <c r="H14" s="62">
        <f t="shared" si="0"/>
        <v>188</v>
      </c>
    </row>
    <row r="15" spans="1:8" ht="19.5" customHeight="1">
      <c r="A15" s="6">
        <v>14</v>
      </c>
      <c r="B15" s="53" t="s">
        <v>139</v>
      </c>
      <c r="C15" s="54" t="s">
        <v>58</v>
      </c>
      <c r="D15" s="146">
        <v>0</v>
      </c>
      <c r="E15" s="25">
        <v>0</v>
      </c>
      <c r="F15" s="146">
        <v>0</v>
      </c>
      <c r="G15" s="141">
        <v>15</v>
      </c>
      <c r="H15" s="62">
        <f t="shared" si="0"/>
        <v>15</v>
      </c>
    </row>
    <row r="16" spans="1:8" ht="19.5" customHeight="1">
      <c r="A16" s="6">
        <v>15</v>
      </c>
      <c r="B16" s="53" t="s">
        <v>158</v>
      </c>
      <c r="C16" s="54" t="s">
        <v>23</v>
      </c>
      <c r="D16" s="146">
        <v>5</v>
      </c>
      <c r="E16" s="25">
        <v>5</v>
      </c>
      <c r="F16" s="146">
        <v>0</v>
      </c>
      <c r="G16" s="141">
        <v>0</v>
      </c>
      <c r="H16" s="62">
        <f t="shared" si="0"/>
        <v>10</v>
      </c>
    </row>
    <row r="17" spans="1:8" ht="19.5" customHeight="1">
      <c r="A17" s="6">
        <v>16</v>
      </c>
      <c r="B17" s="53" t="s">
        <v>159</v>
      </c>
      <c r="C17" s="54" t="s">
        <v>160</v>
      </c>
      <c r="D17" s="146">
        <v>10</v>
      </c>
      <c r="E17" s="25">
        <v>11</v>
      </c>
      <c r="F17" s="146">
        <v>16</v>
      </c>
      <c r="G17" s="141">
        <v>5.5</v>
      </c>
      <c r="H17" s="62">
        <f t="shared" si="0"/>
        <v>42.5</v>
      </c>
    </row>
    <row r="18" spans="1:8" ht="19.5" customHeight="1" thickBot="1">
      <c r="A18" s="7">
        <v>17</v>
      </c>
      <c r="B18" s="55" t="s">
        <v>161</v>
      </c>
      <c r="C18" s="56" t="s">
        <v>99</v>
      </c>
      <c r="D18" s="158">
        <v>109</v>
      </c>
      <c r="E18" s="26">
        <v>53</v>
      </c>
      <c r="F18" s="192">
        <v>11</v>
      </c>
      <c r="G18" s="202">
        <f>300+120+140+51+15</f>
        <v>626</v>
      </c>
      <c r="H18" s="63">
        <f t="shared" si="0"/>
        <v>799</v>
      </c>
    </row>
    <row r="19" spans="1:8" s="64" customFormat="1" ht="15.75">
      <c r="A19" s="72"/>
      <c r="B19" s="68" t="s">
        <v>347</v>
      </c>
      <c r="D19" s="65">
        <v>26</v>
      </c>
      <c r="E19" s="69"/>
      <c r="F19" s="65"/>
      <c r="G19" s="65">
        <v>94</v>
      </c>
      <c r="H19" s="65">
        <f>SUM(D19:G19)</f>
        <v>120</v>
      </c>
    </row>
    <row r="20" spans="4:7" ht="15.75" thickBot="1">
      <c r="D20" s="15"/>
      <c r="E20" s="13"/>
      <c r="F20" s="189" t="s">
        <v>466</v>
      </c>
      <c r="G20" s="189"/>
    </row>
    <row r="21" spans="1:9" s="23" customFormat="1" ht="16.5" thickBot="1">
      <c r="A21" s="22"/>
      <c r="B21" s="78" t="s">
        <v>263</v>
      </c>
      <c r="D21" s="193">
        <f>SUM(D2:D20)</f>
        <v>327</v>
      </c>
      <c r="E21" s="196">
        <f>SUM(E2:E20)</f>
        <v>522</v>
      </c>
      <c r="F21" s="195">
        <f>SUM(F2:F18)</f>
        <v>588</v>
      </c>
      <c r="G21" s="196">
        <f>SUM(G2:G19)</f>
        <v>1128</v>
      </c>
      <c r="H21" s="77">
        <f>SUM(H2:H19)</f>
        <v>2565</v>
      </c>
      <c r="I21" s="176"/>
    </row>
    <row r="23" ht="12.75">
      <c r="H23" s="17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J2" sqref="J2:J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4" t="s">
        <v>255</v>
      </c>
      <c r="B1" s="8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40">
        <v>1</v>
      </c>
      <c r="B2" s="34" t="s">
        <v>142</v>
      </c>
      <c r="C2" s="35" t="s">
        <v>70</v>
      </c>
      <c r="D2" s="150">
        <v>0</v>
      </c>
      <c r="E2" s="85">
        <v>0</v>
      </c>
      <c r="F2" s="9">
        <v>41</v>
      </c>
      <c r="G2" s="96"/>
      <c r="H2" s="151">
        <v>10</v>
      </c>
      <c r="I2" s="204"/>
      <c r="J2" s="61">
        <f>SUM(D2:I2)</f>
        <v>51</v>
      </c>
    </row>
    <row r="3" spans="1:10" ht="19.5" customHeight="1">
      <c r="A3" s="41">
        <v>2</v>
      </c>
      <c r="B3" s="36" t="s">
        <v>118</v>
      </c>
      <c r="C3" s="37" t="s">
        <v>119</v>
      </c>
      <c r="D3" s="146">
        <v>70</v>
      </c>
      <c r="E3" s="25">
        <v>10</v>
      </c>
      <c r="F3" s="10">
        <f>38+41+15</f>
        <v>94</v>
      </c>
      <c r="G3" s="97"/>
      <c r="H3" s="141">
        <f>91.5+38.5</f>
        <v>130</v>
      </c>
      <c r="I3" s="205"/>
      <c r="J3" s="62">
        <f aca="true" t="shared" si="0" ref="J3:J24">SUM(D3:I3)</f>
        <v>304</v>
      </c>
    </row>
    <row r="4" spans="1:10" ht="19.5" customHeight="1">
      <c r="A4" s="41">
        <v>3</v>
      </c>
      <c r="B4" s="36" t="s">
        <v>120</v>
      </c>
      <c r="C4" s="37" t="s">
        <v>121</v>
      </c>
      <c r="D4" s="146">
        <v>3.5</v>
      </c>
      <c r="E4" s="25">
        <v>46</v>
      </c>
      <c r="F4" s="10">
        <v>3</v>
      </c>
      <c r="G4" s="97"/>
      <c r="H4" s="141">
        <v>60.5</v>
      </c>
      <c r="I4" s="205"/>
      <c r="J4" s="62">
        <f t="shared" si="0"/>
        <v>113</v>
      </c>
    </row>
    <row r="5" spans="1:10" ht="19.5" customHeight="1">
      <c r="A5" s="41">
        <v>4</v>
      </c>
      <c r="B5" s="36" t="s">
        <v>122</v>
      </c>
      <c r="C5" s="37" t="s">
        <v>79</v>
      </c>
      <c r="D5" s="146">
        <v>6.5</v>
      </c>
      <c r="E5" s="25">
        <v>10.5</v>
      </c>
      <c r="F5" s="10">
        <v>15</v>
      </c>
      <c r="G5" s="97"/>
      <c r="H5" s="141">
        <v>10.5</v>
      </c>
      <c r="I5" s="205"/>
      <c r="J5" s="62">
        <f t="shared" si="0"/>
        <v>42.5</v>
      </c>
    </row>
    <row r="6" spans="1:10" ht="19.5" customHeight="1">
      <c r="A6" s="41">
        <v>5</v>
      </c>
      <c r="B6" s="36" t="s">
        <v>143</v>
      </c>
      <c r="C6" s="37" t="s">
        <v>23</v>
      </c>
      <c r="D6" s="146">
        <v>0</v>
      </c>
      <c r="E6" s="25">
        <v>12</v>
      </c>
      <c r="F6" s="10">
        <v>0</v>
      </c>
      <c r="G6" s="97"/>
      <c r="H6" s="141">
        <v>5.5</v>
      </c>
      <c r="I6" s="205"/>
      <c r="J6" s="62">
        <f t="shared" si="0"/>
        <v>17.5</v>
      </c>
    </row>
    <row r="7" spans="1:10" ht="19.5" customHeight="1">
      <c r="A7" s="41">
        <v>6</v>
      </c>
      <c r="B7" s="36" t="s">
        <v>145</v>
      </c>
      <c r="C7" s="37" t="s">
        <v>146</v>
      </c>
      <c r="D7" s="146">
        <v>51</v>
      </c>
      <c r="E7" s="25">
        <v>0</v>
      </c>
      <c r="F7" s="10">
        <v>15</v>
      </c>
      <c r="G7" s="97"/>
      <c r="H7" s="141">
        <v>26</v>
      </c>
      <c r="I7" s="205"/>
      <c r="J7" s="62">
        <f t="shared" si="0"/>
        <v>92</v>
      </c>
    </row>
    <row r="8" spans="1:10" ht="19.5" customHeight="1">
      <c r="A8" s="41">
        <v>7</v>
      </c>
      <c r="B8" s="36" t="s">
        <v>125</v>
      </c>
      <c r="C8" s="37" t="s">
        <v>87</v>
      </c>
      <c r="D8" s="146">
        <v>50</v>
      </c>
      <c r="E8" s="25">
        <v>14</v>
      </c>
      <c r="F8" s="10">
        <v>0</v>
      </c>
      <c r="G8" s="97"/>
      <c r="H8" s="141">
        <v>9</v>
      </c>
      <c r="I8" s="205"/>
      <c r="J8" s="62">
        <f t="shared" si="0"/>
        <v>73</v>
      </c>
    </row>
    <row r="9" spans="1:10" ht="19.5" customHeight="1">
      <c r="A9" s="41">
        <v>8</v>
      </c>
      <c r="B9" s="36" t="s">
        <v>126</v>
      </c>
      <c r="C9" s="37" t="s">
        <v>78</v>
      </c>
      <c r="D9" s="146">
        <v>65</v>
      </c>
      <c r="E9" s="25">
        <v>76</v>
      </c>
      <c r="F9" s="10">
        <v>148</v>
      </c>
      <c r="G9" s="97"/>
      <c r="H9" s="141">
        <v>185</v>
      </c>
      <c r="I9" s="205"/>
      <c r="J9" s="62">
        <f t="shared" si="0"/>
        <v>474</v>
      </c>
    </row>
    <row r="10" spans="1:10" ht="19.5" customHeight="1">
      <c r="A10" s="41">
        <v>9</v>
      </c>
      <c r="B10" s="36" t="s">
        <v>127</v>
      </c>
      <c r="C10" s="37" t="s">
        <v>63</v>
      </c>
      <c r="D10" s="146">
        <v>0</v>
      </c>
      <c r="E10" s="25">
        <v>2.5</v>
      </c>
      <c r="F10" s="10">
        <v>11</v>
      </c>
      <c r="G10" s="97"/>
      <c r="H10" s="141">
        <v>10</v>
      </c>
      <c r="I10" s="205"/>
      <c r="J10" s="62">
        <f t="shared" si="0"/>
        <v>23.5</v>
      </c>
    </row>
    <row r="11" spans="1:10" ht="19.5" customHeight="1">
      <c r="A11" s="41">
        <v>10</v>
      </c>
      <c r="B11" s="36" t="s">
        <v>128</v>
      </c>
      <c r="C11" s="37" t="s">
        <v>129</v>
      </c>
      <c r="D11" s="146">
        <v>15.5</v>
      </c>
      <c r="E11" s="25">
        <v>44.5</v>
      </c>
      <c r="F11" s="10">
        <v>20</v>
      </c>
      <c r="G11" s="97"/>
      <c r="H11" s="141">
        <v>10</v>
      </c>
      <c r="I11" s="205"/>
      <c r="J11" s="62">
        <f t="shared" si="0"/>
        <v>90</v>
      </c>
    </row>
    <row r="12" spans="1:10" ht="19.5" customHeight="1">
      <c r="A12" s="41">
        <v>11</v>
      </c>
      <c r="B12" s="36" t="s">
        <v>98</v>
      </c>
      <c r="C12" s="37" t="s">
        <v>77</v>
      </c>
      <c r="D12" s="146">
        <v>7</v>
      </c>
      <c r="E12" s="25">
        <v>0</v>
      </c>
      <c r="F12" s="10">
        <v>15.5</v>
      </c>
      <c r="G12" s="97"/>
      <c r="H12" s="141">
        <v>7</v>
      </c>
      <c r="I12" s="205"/>
      <c r="J12" s="62">
        <f t="shared" si="0"/>
        <v>29.5</v>
      </c>
    </row>
    <row r="13" spans="1:10" ht="19.5" customHeight="1">
      <c r="A13" s="41">
        <v>12</v>
      </c>
      <c r="B13" s="36" t="s">
        <v>131</v>
      </c>
      <c r="C13" s="37" t="s">
        <v>69</v>
      </c>
      <c r="D13" s="146">
        <v>47</v>
      </c>
      <c r="E13" s="25">
        <f>18+22+61</f>
        <v>101</v>
      </c>
      <c r="F13" s="10">
        <v>71</v>
      </c>
      <c r="G13" s="97"/>
      <c r="H13" s="141">
        <v>112</v>
      </c>
      <c r="I13" s="205"/>
      <c r="J13" s="62">
        <f t="shared" si="0"/>
        <v>331</v>
      </c>
    </row>
    <row r="14" spans="1:10" ht="19.5" customHeight="1">
      <c r="A14" s="41">
        <v>13</v>
      </c>
      <c r="B14" s="36" t="s">
        <v>82</v>
      </c>
      <c r="C14" s="37" t="s">
        <v>8</v>
      </c>
      <c r="D14" s="149">
        <v>70</v>
      </c>
      <c r="E14" s="25">
        <v>30</v>
      </c>
      <c r="F14" s="185">
        <v>0</v>
      </c>
      <c r="G14" s="99"/>
      <c r="H14" s="141">
        <v>0</v>
      </c>
      <c r="I14" s="223">
        <v>100</v>
      </c>
      <c r="J14" s="62">
        <f t="shared" si="0"/>
        <v>200</v>
      </c>
    </row>
    <row r="15" spans="1:10" ht="19.5" customHeight="1">
      <c r="A15" s="41">
        <v>14</v>
      </c>
      <c r="B15" s="36" t="s">
        <v>150</v>
      </c>
      <c r="C15" s="37" t="s">
        <v>78</v>
      </c>
      <c r="D15" s="149">
        <v>250</v>
      </c>
      <c r="E15" s="25">
        <v>150</v>
      </c>
      <c r="F15" s="10">
        <v>0</v>
      </c>
      <c r="G15" s="99">
        <f>70+50</f>
        <v>120</v>
      </c>
      <c r="H15" s="141">
        <v>0</v>
      </c>
      <c r="I15" s="223">
        <f>90</f>
        <v>90</v>
      </c>
      <c r="J15" s="62">
        <f t="shared" si="0"/>
        <v>610</v>
      </c>
    </row>
    <row r="16" spans="1:10" ht="19.5" customHeight="1">
      <c r="A16" s="41">
        <v>15</v>
      </c>
      <c r="B16" s="36" t="s">
        <v>151</v>
      </c>
      <c r="C16" s="37" t="s">
        <v>40</v>
      </c>
      <c r="D16" s="149">
        <v>19</v>
      </c>
      <c r="E16" s="25">
        <v>39</v>
      </c>
      <c r="F16" s="10">
        <v>259</v>
      </c>
      <c r="G16" s="97"/>
      <c r="H16" s="141">
        <v>99</v>
      </c>
      <c r="I16" s="205"/>
      <c r="J16" s="62">
        <f t="shared" si="0"/>
        <v>416</v>
      </c>
    </row>
    <row r="17" spans="1:10" ht="19.5" customHeight="1">
      <c r="A17" s="41">
        <v>16</v>
      </c>
      <c r="B17" s="36" t="s">
        <v>152</v>
      </c>
      <c r="C17" s="37" t="s">
        <v>18</v>
      </c>
      <c r="D17" s="149">
        <v>20</v>
      </c>
      <c r="E17" s="25">
        <v>12</v>
      </c>
      <c r="F17" s="10">
        <v>16.5</v>
      </c>
      <c r="G17" s="97"/>
      <c r="H17" s="141">
        <f>15.5+19</f>
        <v>34.5</v>
      </c>
      <c r="I17" s="205"/>
      <c r="J17" s="62">
        <f t="shared" si="0"/>
        <v>83</v>
      </c>
    </row>
    <row r="18" spans="1:10" ht="19.5" customHeight="1">
      <c r="A18" s="41">
        <v>17</v>
      </c>
      <c r="B18" s="36" t="s">
        <v>134</v>
      </c>
      <c r="C18" s="37" t="s">
        <v>135</v>
      </c>
      <c r="D18" s="149">
        <v>72</v>
      </c>
      <c r="E18" s="25">
        <v>42.5</v>
      </c>
      <c r="F18" s="10">
        <v>81</v>
      </c>
      <c r="G18" s="97"/>
      <c r="H18" s="141">
        <v>60</v>
      </c>
      <c r="I18" s="205"/>
      <c r="J18" s="62">
        <f t="shared" si="0"/>
        <v>255.5</v>
      </c>
    </row>
    <row r="19" spans="1:10" ht="19.5" customHeight="1">
      <c r="A19" s="41">
        <v>18</v>
      </c>
      <c r="B19" s="36" t="s">
        <v>155</v>
      </c>
      <c r="C19" s="37" t="s">
        <v>69</v>
      </c>
      <c r="D19" s="149">
        <v>420</v>
      </c>
      <c r="E19" s="25">
        <v>0</v>
      </c>
      <c r="F19" s="10">
        <v>0</v>
      </c>
      <c r="G19" s="99">
        <f>260</f>
        <v>260</v>
      </c>
      <c r="H19" s="141">
        <v>0</v>
      </c>
      <c r="I19" s="223">
        <f>500</f>
        <v>500</v>
      </c>
      <c r="J19" s="62">
        <f t="shared" si="0"/>
        <v>1180</v>
      </c>
    </row>
    <row r="20" spans="1:10" ht="19.5" customHeight="1">
      <c r="A20" s="41">
        <v>19</v>
      </c>
      <c r="B20" s="36" t="s">
        <v>305</v>
      </c>
      <c r="C20" s="37" t="s">
        <v>30</v>
      </c>
      <c r="D20" s="146">
        <v>0</v>
      </c>
      <c r="E20" s="25">
        <v>0</v>
      </c>
      <c r="F20" s="10">
        <v>0</v>
      </c>
      <c r="G20" s="110"/>
      <c r="H20" s="207">
        <v>10</v>
      </c>
      <c r="I20" s="224"/>
      <c r="J20" s="62">
        <f t="shared" si="0"/>
        <v>10</v>
      </c>
    </row>
    <row r="21" spans="1:10" ht="19.5" customHeight="1">
      <c r="A21" s="41">
        <v>20</v>
      </c>
      <c r="B21" s="36" t="s">
        <v>31</v>
      </c>
      <c r="C21" s="37" t="s">
        <v>156</v>
      </c>
      <c r="D21" s="146">
        <v>7</v>
      </c>
      <c r="E21" s="25">
        <v>7.5</v>
      </c>
      <c r="F21" s="10">
        <v>13</v>
      </c>
      <c r="G21" s="97"/>
      <c r="H21" s="141">
        <v>7.5</v>
      </c>
      <c r="I21" s="205"/>
      <c r="J21" s="62">
        <f t="shared" si="0"/>
        <v>35</v>
      </c>
    </row>
    <row r="22" spans="1:10" ht="19.5" customHeight="1">
      <c r="A22" s="41">
        <v>21</v>
      </c>
      <c r="B22" s="36" t="s">
        <v>157</v>
      </c>
      <c r="C22" s="37" t="s">
        <v>52</v>
      </c>
      <c r="D22" s="146">
        <v>24</v>
      </c>
      <c r="E22" s="25">
        <v>10</v>
      </c>
      <c r="F22" s="10">
        <v>109</v>
      </c>
      <c r="G22" s="97"/>
      <c r="H22" s="141">
        <v>36.5</v>
      </c>
      <c r="I22" s="205"/>
      <c r="J22" s="62">
        <f t="shared" si="0"/>
        <v>179.5</v>
      </c>
    </row>
    <row r="23" spans="1:10" ht="19.5" customHeight="1">
      <c r="A23" s="41">
        <v>22</v>
      </c>
      <c r="B23" s="36" t="s">
        <v>140</v>
      </c>
      <c r="C23" s="37" t="s">
        <v>141</v>
      </c>
      <c r="D23" s="146">
        <f>386+959</f>
        <v>1345</v>
      </c>
      <c r="E23" s="25">
        <v>1070</v>
      </c>
      <c r="F23" s="10">
        <v>1946</v>
      </c>
      <c r="G23" s="97"/>
      <c r="H23" s="141">
        <f>669+215</f>
        <v>884</v>
      </c>
      <c r="I23" s="205"/>
      <c r="J23" s="62">
        <f t="shared" si="0"/>
        <v>5245</v>
      </c>
    </row>
    <row r="24" spans="1:10" ht="19.5" customHeight="1" thickBot="1">
      <c r="A24" s="42">
        <v>23</v>
      </c>
      <c r="B24" s="38" t="s">
        <v>162</v>
      </c>
      <c r="C24" s="39" t="s">
        <v>101</v>
      </c>
      <c r="D24" s="148">
        <v>0</v>
      </c>
      <c r="E24" s="26">
        <v>15</v>
      </c>
      <c r="F24" s="12">
        <v>10</v>
      </c>
      <c r="G24" s="101"/>
      <c r="H24" s="142">
        <v>10</v>
      </c>
      <c r="I24" s="225"/>
      <c r="J24" s="63">
        <f t="shared" si="0"/>
        <v>35</v>
      </c>
    </row>
    <row r="25" spans="1:10" s="64" customFormat="1" ht="15.75">
      <c r="A25" s="72"/>
      <c r="B25" s="68" t="s">
        <v>347</v>
      </c>
      <c r="D25" s="65"/>
      <c r="E25" s="65"/>
      <c r="F25" s="65"/>
      <c r="G25" s="65"/>
      <c r="H25" s="65"/>
      <c r="I25" s="65"/>
      <c r="J25" s="75">
        <f>SUM(D25:I25)</f>
        <v>0</v>
      </c>
    </row>
    <row r="26" spans="4:9" ht="15.75" thickBot="1">
      <c r="D26" s="14"/>
      <c r="E26" s="14"/>
      <c r="F26" s="189" t="s">
        <v>466</v>
      </c>
      <c r="G26" s="189" t="s">
        <v>467</v>
      </c>
      <c r="H26" s="189" t="s">
        <v>466</v>
      </c>
      <c r="I26" s="189" t="s">
        <v>467</v>
      </c>
    </row>
    <row r="27" spans="1:11" s="23" customFormat="1" ht="16.5" thickBot="1">
      <c r="A27" s="22"/>
      <c r="B27" s="78" t="s">
        <v>263</v>
      </c>
      <c r="D27" s="193">
        <f>SUM(D2:D26)</f>
        <v>2542.5</v>
      </c>
      <c r="E27" s="196">
        <f>SUM(E2:E26)</f>
        <v>1692.5</v>
      </c>
      <c r="F27" s="262">
        <f>SUM(F2:G25)</f>
        <v>3248</v>
      </c>
      <c r="G27" s="260"/>
      <c r="H27" s="259">
        <f>SUM(H2:I25)</f>
        <v>2407</v>
      </c>
      <c r="I27" s="260"/>
      <c r="J27" s="77">
        <f>SUM(J2:J26)</f>
        <v>9890</v>
      </c>
      <c r="K27" s="176"/>
    </row>
    <row r="29" spans="6:10" ht="12.75">
      <c r="F29" s="17"/>
      <c r="J29" s="17"/>
    </row>
  </sheetData>
  <mergeCells count="4">
    <mergeCell ref="F1:G1"/>
    <mergeCell ref="F27:G27"/>
    <mergeCell ref="H1:I1"/>
    <mergeCell ref="H27:I27"/>
  </mergeCells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H2" sqref="H2:H22"/>
    </sheetView>
  </sheetViews>
  <sheetFormatPr defaultColWidth="9.140625" defaultRowHeight="12.75"/>
  <cols>
    <col min="1" max="1" width="5.140625" style="2" customWidth="1"/>
    <col min="2" max="2" width="18.8515625" style="0" customWidth="1"/>
    <col min="3" max="3" width="17.28125" style="0" customWidth="1"/>
    <col min="4" max="4" width="12.7109375" style="1" customWidth="1"/>
    <col min="5" max="7" width="12.7109375" style="0" customWidth="1"/>
    <col min="8" max="8" width="15.57421875" style="27" customWidth="1"/>
  </cols>
  <sheetData>
    <row r="1" spans="1:8" ht="24.75" customHeight="1" thickBot="1">
      <c r="A1" s="253" t="s">
        <v>256</v>
      </c>
      <c r="B1" s="8" t="s">
        <v>261</v>
      </c>
      <c r="C1" s="24" t="s">
        <v>262</v>
      </c>
      <c r="D1" s="143" t="s">
        <v>457</v>
      </c>
      <c r="E1" s="159" t="s">
        <v>460</v>
      </c>
      <c r="F1" s="94" t="s">
        <v>461</v>
      </c>
      <c r="G1" s="94" t="s">
        <v>468</v>
      </c>
      <c r="H1" s="60" t="s">
        <v>304</v>
      </c>
    </row>
    <row r="2" spans="1:8" ht="19.5" customHeight="1">
      <c r="A2" s="40">
        <v>1</v>
      </c>
      <c r="B2" s="34" t="s">
        <v>164</v>
      </c>
      <c r="C2" s="35" t="s">
        <v>40</v>
      </c>
      <c r="D2" s="150">
        <v>15</v>
      </c>
      <c r="E2" s="85">
        <v>14</v>
      </c>
      <c r="F2" s="9">
        <v>19</v>
      </c>
      <c r="G2" s="96">
        <v>50</v>
      </c>
      <c r="H2" s="79">
        <f>SUM(D2:G2)</f>
        <v>98</v>
      </c>
    </row>
    <row r="3" spans="1:8" ht="19.5" customHeight="1">
      <c r="A3" s="6">
        <v>2</v>
      </c>
      <c r="B3" s="36" t="s">
        <v>165</v>
      </c>
      <c r="C3" s="37" t="s">
        <v>101</v>
      </c>
      <c r="D3" s="146">
        <v>43</v>
      </c>
      <c r="E3" s="25">
        <v>7</v>
      </c>
      <c r="F3" s="10">
        <v>36</v>
      </c>
      <c r="G3" s="97">
        <v>34.5</v>
      </c>
      <c r="H3" s="80">
        <f aca="true" t="shared" si="0" ref="H3:H22">SUM(D3:G3)</f>
        <v>120.5</v>
      </c>
    </row>
    <row r="4" spans="1:8" ht="19.5" customHeight="1">
      <c r="A4" s="136">
        <v>3</v>
      </c>
      <c r="B4" s="36" t="s">
        <v>166</v>
      </c>
      <c r="C4" s="37" t="s">
        <v>99</v>
      </c>
      <c r="D4" s="146">
        <v>0</v>
      </c>
      <c r="E4" s="25">
        <f>33+47+82.5</f>
        <v>162.5</v>
      </c>
      <c r="F4" s="10">
        <v>54</v>
      </c>
      <c r="G4" s="97">
        <v>7</v>
      </c>
      <c r="H4" s="80">
        <f t="shared" si="0"/>
        <v>223.5</v>
      </c>
    </row>
    <row r="5" spans="1:8" ht="19.5" customHeight="1">
      <c r="A5" s="6">
        <v>4</v>
      </c>
      <c r="B5" s="36" t="s">
        <v>167</v>
      </c>
      <c r="C5" s="37" t="s">
        <v>81</v>
      </c>
      <c r="D5" s="146">
        <v>12</v>
      </c>
      <c r="E5" s="25">
        <v>95</v>
      </c>
      <c r="F5" s="10">
        <v>127</v>
      </c>
      <c r="G5" s="97">
        <v>4</v>
      </c>
      <c r="H5" s="80">
        <f t="shared" si="0"/>
        <v>238</v>
      </c>
    </row>
    <row r="6" spans="1:8" ht="19.5" customHeight="1">
      <c r="A6" s="136">
        <v>5</v>
      </c>
      <c r="B6" s="36" t="s">
        <v>456</v>
      </c>
      <c r="C6" s="37" t="s">
        <v>408</v>
      </c>
      <c r="D6" s="146">
        <v>0</v>
      </c>
      <c r="E6" s="25">
        <v>0</v>
      </c>
      <c r="F6" s="10">
        <v>0</v>
      </c>
      <c r="G6" s="99">
        <f>260</f>
        <v>260</v>
      </c>
      <c r="H6" s="80">
        <f t="shared" si="0"/>
        <v>260</v>
      </c>
    </row>
    <row r="7" spans="1:8" ht="19.5" customHeight="1">
      <c r="A7" s="6">
        <v>6</v>
      </c>
      <c r="B7" s="36" t="s">
        <v>169</v>
      </c>
      <c r="C7" s="37" t="s">
        <v>170</v>
      </c>
      <c r="D7" s="146">
        <v>11</v>
      </c>
      <c r="E7" s="25">
        <v>7.5</v>
      </c>
      <c r="F7" s="10">
        <v>8</v>
      </c>
      <c r="G7" s="97">
        <v>0</v>
      </c>
      <c r="H7" s="80">
        <f t="shared" si="0"/>
        <v>26.5</v>
      </c>
    </row>
    <row r="8" spans="1:8" ht="19.5" customHeight="1">
      <c r="A8" s="136">
        <v>7</v>
      </c>
      <c r="B8" s="36" t="s">
        <v>171</v>
      </c>
      <c r="C8" s="37" t="s">
        <v>87</v>
      </c>
      <c r="D8" s="146">
        <v>7</v>
      </c>
      <c r="E8" s="25">
        <v>4.5</v>
      </c>
      <c r="F8" s="10">
        <v>5</v>
      </c>
      <c r="G8" s="97">
        <v>4</v>
      </c>
      <c r="H8" s="80">
        <f t="shared" si="0"/>
        <v>20.5</v>
      </c>
    </row>
    <row r="9" spans="1:8" ht="19.5" customHeight="1">
      <c r="A9" s="6">
        <v>8</v>
      </c>
      <c r="B9" s="36" t="s">
        <v>172</v>
      </c>
      <c r="C9" s="37" t="s">
        <v>25</v>
      </c>
      <c r="D9" s="146">
        <v>12.5</v>
      </c>
      <c r="E9" s="25">
        <v>10</v>
      </c>
      <c r="F9" s="10">
        <v>16</v>
      </c>
      <c r="G9" s="97">
        <f>4+8.5</f>
        <v>12.5</v>
      </c>
      <c r="H9" s="80">
        <f t="shared" si="0"/>
        <v>51</v>
      </c>
    </row>
    <row r="10" spans="1:8" ht="19.5" customHeight="1">
      <c r="A10" s="136">
        <v>9</v>
      </c>
      <c r="B10" s="36" t="s">
        <v>173</v>
      </c>
      <c r="C10" s="37" t="s">
        <v>174</v>
      </c>
      <c r="D10" s="146">
        <v>12</v>
      </c>
      <c r="E10" s="25">
        <v>7</v>
      </c>
      <c r="F10" s="10">
        <v>15</v>
      </c>
      <c r="G10" s="97">
        <v>3.5</v>
      </c>
      <c r="H10" s="80">
        <f t="shared" si="0"/>
        <v>37.5</v>
      </c>
    </row>
    <row r="11" spans="1:8" ht="19.5" customHeight="1">
      <c r="A11" s="6">
        <v>10</v>
      </c>
      <c r="B11" s="36" t="s">
        <v>462</v>
      </c>
      <c r="C11" s="37" t="s">
        <v>58</v>
      </c>
      <c r="D11" s="146" t="s">
        <v>405</v>
      </c>
      <c r="E11" s="25" t="s">
        <v>405</v>
      </c>
      <c r="F11" s="10">
        <v>6</v>
      </c>
      <c r="G11" s="97">
        <v>0</v>
      </c>
      <c r="H11" s="80">
        <f t="shared" si="0"/>
        <v>6</v>
      </c>
    </row>
    <row r="12" spans="1:8" ht="19.5" customHeight="1">
      <c r="A12" s="136">
        <v>11</v>
      </c>
      <c r="B12" s="36" t="s">
        <v>175</v>
      </c>
      <c r="C12" s="37" t="s">
        <v>30</v>
      </c>
      <c r="D12" s="146">
        <v>2.5</v>
      </c>
      <c r="E12" s="25">
        <v>5</v>
      </c>
      <c r="F12" s="10">
        <v>2</v>
      </c>
      <c r="G12" s="97">
        <v>4</v>
      </c>
      <c r="H12" s="80">
        <f t="shared" si="0"/>
        <v>13.5</v>
      </c>
    </row>
    <row r="13" spans="1:8" ht="19.5" customHeight="1">
      <c r="A13" s="6">
        <v>12</v>
      </c>
      <c r="B13" s="255" t="s">
        <v>455</v>
      </c>
      <c r="C13" s="256"/>
      <c r="D13" s="146">
        <v>8</v>
      </c>
      <c r="E13" s="25">
        <v>9</v>
      </c>
      <c r="F13" s="10">
        <v>6.5</v>
      </c>
      <c r="G13" s="97">
        <v>5.5</v>
      </c>
      <c r="H13" s="80">
        <f t="shared" si="0"/>
        <v>29</v>
      </c>
    </row>
    <row r="14" spans="1:8" ht="19.5" customHeight="1">
      <c r="A14" s="136">
        <v>13</v>
      </c>
      <c r="B14" s="36" t="s">
        <v>176</v>
      </c>
      <c r="C14" s="37" t="s">
        <v>12</v>
      </c>
      <c r="D14" s="146">
        <v>4</v>
      </c>
      <c r="E14" s="25">
        <v>2</v>
      </c>
      <c r="F14" s="10">
        <v>3</v>
      </c>
      <c r="G14" s="97">
        <v>0</v>
      </c>
      <c r="H14" s="80">
        <f t="shared" si="0"/>
        <v>9</v>
      </c>
    </row>
    <row r="15" spans="1:8" ht="19.5" customHeight="1">
      <c r="A15" s="6">
        <v>14</v>
      </c>
      <c r="B15" s="36" t="s">
        <v>177</v>
      </c>
      <c r="C15" s="37" t="s">
        <v>121</v>
      </c>
      <c r="D15" s="146">
        <v>0</v>
      </c>
      <c r="E15" s="25">
        <v>6</v>
      </c>
      <c r="F15" s="10">
        <v>0</v>
      </c>
      <c r="G15" s="97">
        <v>0</v>
      </c>
      <c r="H15" s="80">
        <f t="shared" si="0"/>
        <v>6</v>
      </c>
    </row>
    <row r="16" spans="1:8" ht="19.5" customHeight="1">
      <c r="A16" s="136">
        <v>15</v>
      </c>
      <c r="B16" s="36" t="s">
        <v>178</v>
      </c>
      <c r="C16" s="37" t="s">
        <v>81</v>
      </c>
      <c r="D16" s="147">
        <v>11</v>
      </c>
      <c r="E16" s="166">
        <v>8.5</v>
      </c>
      <c r="F16" s="11">
        <v>0</v>
      </c>
      <c r="G16" s="102">
        <v>3</v>
      </c>
      <c r="H16" s="80">
        <f t="shared" si="0"/>
        <v>22.5</v>
      </c>
    </row>
    <row r="17" spans="1:8" ht="19.5" customHeight="1">
      <c r="A17" s="6">
        <v>16</v>
      </c>
      <c r="B17" s="36" t="s">
        <v>179</v>
      </c>
      <c r="C17" s="37" t="s">
        <v>73</v>
      </c>
      <c r="D17" s="147">
        <v>8</v>
      </c>
      <c r="E17" s="166">
        <v>7</v>
      </c>
      <c r="F17" s="11">
        <v>0</v>
      </c>
      <c r="G17" s="102">
        <v>7</v>
      </c>
      <c r="H17" s="80">
        <f t="shared" si="0"/>
        <v>22</v>
      </c>
    </row>
    <row r="18" spans="1:8" ht="19.5" customHeight="1">
      <c r="A18" s="136">
        <v>17</v>
      </c>
      <c r="B18" s="36" t="s">
        <v>231</v>
      </c>
      <c r="C18" s="37" t="s">
        <v>8</v>
      </c>
      <c r="D18" s="147">
        <v>0</v>
      </c>
      <c r="E18" s="166">
        <v>8</v>
      </c>
      <c r="F18" s="11">
        <v>0</v>
      </c>
      <c r="G18" s="102">
        <v>4</v>
      </c>
      <c r="H18" s="80">
        <f t="shared" si="0"/>
        <v>12</v>
      </c>
    </row>
    <row r="19" spans="1:8" ht="19.5" customHeight="1">
      <c r="A19" s="6">
        <v>18</v>
      </c>
      <c r="B19" s="36" t="s">
        <v>180</v>
      </c>
      <c r="C19" s="37" t="s">
        <v>78</v>
      </c>
      <c r="D19" s="146">
        <v>6</v>
      </c>
      <c r="E19" s="25">
        <v>0</v>
      </c>
      <c r="F19" s="10">
        <v>36</v>
      </c>
      <c r="G19" s="97">
        <v>5.5</v>
      </c>
      <c r="H19" s="80">
        <f t="shared" si="0"/>
        <v>47.5</v>
      </c>
    </row>
    <row r="20" spans="1:8" ht="19.5" customHeight="1">
      <c r="A20" s="136">
        <v>19</v>
      </c>
      <c r="B20" s="36" t="s">
        <v>181</v>
      </c>
      <c r="C20" s="37" t="s">
        <v>16</v>
      </c>
      <c r="D20" s="147">
        <v>131</v>
      </c>
      <c r="E20" s="166">
        <v>130</v>
      </c>
      <c r="F20" s="11">
        <v>88.5</v>
      </c>
      <c r="G20" s="102">
        <v>123</v>
      </c>
      <c r="H20" s="80">
        <f t="shared" si="0"/>
        <v>472.5</v>
      </c>
    </row>
    <row r="21" spans="1:8" ht="19.5" customHeight="1">
      <c r="A21" s="6">
        <v>20</v>
      </c>
      <c r="B21" s="36" t="s">
        <v>115</v>
      </c>
      <c r="C21" s="37" t="s">
        <v>69</v>
      </c>
      <c r="D21" s="146">
        <v>7</v>
      </c>
      <c r="E21" s="25">
        <v>4.5</v>
      </c>
      <c r="F21" s="10">
        <v>0</v>
      </c>
      <c r="G21" s="97">
        <v>3</v>
      </c>
      <c r="H21" s="80">
        <f t="shared" si="0"/>
        <v>14.5</v>
      </c>
    </row>
    <row r="22" spans="1:8" ht="19.5" customHeight="1" thickBot="1">
      <c r="A22" s="139">
        <v>21</v>
      </c>
      <c r="B22" s="38" t="s">
        <v>182</v>
      </c>
      <c r="C22" s="39" t="s">
        <v>32</v>
      </c>
      <c r="D22" s="148">
        <v>0</v>
      </c>
      <c r="E22" s="26">
        <v>8</v>
      </c>
      <c r="F22" s="12">
        <v>5</v>
      </c>
      <c r="G22" s="101">
        <v>7</v>
      </c>
      <c r="H22" s="81">
        <f t="shared" si="0"/>
        <v>20</v>
      </c>
    </row>
    <row r="23" spans="1:8" s="64" customFormat="1" ht="15.75">
      <c r="A23" s="72"/>
      <c r="B23" s="68" t="s">
        <v>347</v>
      </c>
      <c r="D23" s="65">
        <v>7</v>
      </c>
      <c r="E23" s="65"/>
      <c r="F23" s="65"/>
      <c r="G23" s="65"/>
      <c r="H23" s="65">
        <f>SUM(D23:G23)</f>
        <v>7</v>
      </c>
    </row>
    <row r="24" spans="4:7" ht="15.75" thickBot="1">
      <c r="D24" s="15"/>
      <c r="E24" s="13"/>
      <c r="F24" s="13"/>
      <c r="G24" s="13"/>
    </row>
    <row r="25" spans="1:9" s="23" customFormat="1" ht="16.5" thickBot="1">
      <c r="A25" s="22"/>
      <c r="B25" s="78" t="s">
        <v>263</v>
      </c>
      <c r="D25" s="193">
        <f>SUM(D2:D24)</f>
        <v>297</v>
      </c>
      <c r="E25" s="196">
        <f>SUM(E2:E24)</f>
        <v>495.5</v>
      </c>
      <c r="F25" s="195">
        <f>SUM(F2:F23)</f>
        <v>427</v>
      </c>
      <c r="G25" s="196">
        <f>SUM(G2:G23)</f>
        <v>537.5</v>
      </c>
      <c r="H25" s="77">
        <f>SUM(H2:H23)</f>
        <v>1757</v>
      </c>
      <c r="I25" s="176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J2" sqref="J2:J25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3" t="s">
        <v>257</v>
      </c>
      <c r="B1" s="4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43">
        <v>1</v>
      </c>
      <c r="B2" s="137" t="s">
        <v>183</v>
      </c>
      <c r="C2" s="138" t="s">
        <v>23</v>
      </c>
      <c r="D2" s="145">
        <v>2</v>
      </c>
      <c r="E2" s="152">
        <v>19</v>
      </c>
      <c r="F2" s="154">
        <v>17</v>
      </c>
      <c r="G2" s="98"/>
      <c r="H2" s="151">
        <v>0</v>
      </c>
      <c r="I2" s="98"/>
      <c r="J2" s="61">
        <f>SUM(D2:I2)</f>
        <v>38</v>
      </c>
    </row>
    <row r="3" spans="1:10" ht="19.5" customHeight="1">
      <c r="A3" s="6">
        <v>2</v>
      </c>
      <c r="B3" s="36" t="s">
        <v>184</v>
      </c>
      <c r="C3" s="37" t="s">
        <v>185</v>
      </c>
      <c r="D3" s="146">
        <f>15+8+2</f>
        <v>25</v>
      </c>
      <c r="E3" s="25">
        <f>12+7.5</f>
        <v>19.5</v>
      </c>
      <c r="F3" s="10">
        <v>30</v>
      </c>
      <c r="G3" s="97"/>
      <c r="H3" s="141">
        <v>5</v>
      </c>
      <c r="I3" s="97"/>
      <c r="J3" s="62">
        <f aca="true" t="shared" si="0" ref="J3:J25">SUM(D3:I3)</f>
        <v>79.5</v>
      </c>
    </row>
    <row r="4" spans="1:10" ht="19.5" customHeight="1">
      <c r="A4" s="6">
        <v>3</v>
      </c>
      <c r="B4" s="36" t="s">
        <v>186</v>
      </c>
      <c r="C4" s="37" t="s">
        <v>30</v>
      </c>
      <c r="D4" s="146">
        <v>14</v>
      </c>
      <c r="E4" s="25">
        <v>16</v>
      </c>
      <c r="F4" s="10">
        <v>28</v>
      </c>
      <c r="G4" s="97"/>
      <c r="H4" s="141">
        <v>11.5</v>
      </c>
      <c r="I4" s="97"/>
      <c r="J4" s="62">
        <f t="shared" si="0"/>
        <v>69.5</v>
      </c>
    </row>
    <row r="5" spans="1:10" ht="19.5" customHeight="1">
      <c r="A5" s="6">
        <v>4</v>
      </c>
      <c r="B5" s="36" t="s">
        <v>187</v>
      </c>
      <c r="C5" s="37" t="s">
        <v>60</v>
      </c>
      <c r="D5" s="146">
        <v>58</v>
      </c>
      <c r="E5" s="25">
        <v>0</v>
      </c>
      <c r="F5" s="10">
        <v>0</v>
      </c>
      <c r="G5" s="97"/>
      <c r="H5" s="141">
        <v>0</v>
      </c>
      <c r="I5" s="99">
        <f>60</f>
        <v>60</v>
      </c>
      <c r="J5" s="62">
        <f t="shared" si="0"/>
        <v>118</v>
      </c>
    </row>
    <row r="6" spans="1:10" ht="19.5" customHeight="1">
      <c r="A6" s="6">
        <v>5</v>
      </c>
      <c r="B6" s="36" t="s">
        <v>168</v>
      </c>
      <c r="C6" s="37" t="s">
        <v>49</v>
      </c>
      <c r="D6" s="146">
        <v>0</v>
      </c>
      <c r="E6" s="25">
        <v>0</v>
      </c>
      <c r="F6" s="10">
        <v>9</v>
      </c>
      <c r="G6" s="97"/>
      <c r="H6" s="141">
        <v>20</v>
      </c>
      <c r="I6" s="97"/>
      <c r="J6" s="62">
        <f t="shared" si="0"/>
        <v>29</v>
      </c>
    </row>
    <row r="7" spans="1:10" ht="19.5" customHeight="1">
      <c r="A7" s="6">
        <v>6</v>
      </c>
      <c r="B7" s="36" t="s">
        <v>188</v>
      </c>
      <c r="C7" s="37" t="s">
        <v>70</v>
      </c>
      <c r="D7" s="146">
        <v>8.5</v>
      </c>
      <c r="E7" s="25">
        <v>4</v>
      </c>
      <c r="F7" s="10">
        <v>11</v>
      </c>
      <c r="G7" s="97"/>
      <c r="H7" s="141">
        <v>4.5</v>
      </c>
      <c r="I7" s="97"/>
      <c r="J7" s="62">
        <f t="shared" si="0"/>
        <v>28</v>
      </c>
    </row>
    <row r="8" spans="1:10" ht="19.5" customHeight="1">
      <c r="A8" s="6">
        <v>7</v>
      </c>
      <c r="B8" s="36" t="s">
        <v>189</v>
      </c>
      <c r="C8" s="37" t="s">
        <v>30</v>
      </c>
      <c r="D8" s="146">
        <v>0</v>
      </c>
      <c r="E8" s="25">
        <v>0</v>
      </c>
      <c r="F8" s="10">
        <v>0</v>
      </c>
      <c r="G8" s="97"/>
      <c r="H8" s="141">
        <v>288</v>
      </c>
      <c r="I8" s="97"/>
      <c r="J8" s="62">
        <f t="shared" si="0"/>
        <v>288</v>
      </c>
    </row>
    <row r="9" spans="1:10" ht="19.5" customHeight="1">
      <c r="A9" s="6">
        <v>8</v>
      </c>
      <c r="B9" s="36" t="s">
        <v>190</v>
      </c>
      <c r="C9" s="37" t="s">
        <v>101</v>
      </c>
      <c r="D9" s="146">
        <v>22</v>
      </c>
      <c r="E9" s="25">
        <v>18</v>
      </c>
      <c r="F9" s="10">
        <v>38.5</v>
      </c>
      <c r="G9" s="97"/>
      <c r="H9" s="141">
        <v>19.5</v>
      </c>
      <c r="I9" s="97"/>
      <c r="J9" s="62">
        <f t="shared" si="0"/>
        <v>98</v>
      </c>
    </row>
    <row r="10" spans="1:10" ht="19.5" customHeight="1">
      <c r="A10" s="6">
        <v>9</v>
      </c>
      <c r="B10" s="36" t="s">
        <v>191</v>
      </c>
      <c r="C10" s="37" t="s">
        <v>16</v>
      </c>
      <c r="D10" s="146">
        <v>0</v>
      </c>
      <c r="E10" s="25">
        <v>4</v>
      </c>
      <c r="F10" s="10">
        <v>0</v>
      </c>
      <c r="G10" s="97"/>
      <c r="H10" s="141">
        <v>5</v>
      </c>
      <c r="I10" s="97"/>
      <c r="J10" s="62">
        <f t="shared" si="0"/>
        <v>9</v>
      </c>
    </row>
    <row r="11" spans="1:10" ht="19.5" customHeight="1">
      <c r="A11" s="6">
        <v>10</v>
      </c>
      <c r="B11" s="36" t="s">
        <v>192</v>
      </c>
      <c r="C11" s="37" t="s">
        <v>101</v>
      </c>
      <c r="D11" s="146">
        <v>0</v>
      </c>
      <c r="E11" s="25">
        <v>0</v>
      </c>
      <c r="F11" s="10">
        <v>0</v>
      </c>
      <c r="G11" s="97"/>
      <c r="H11" s="141">
        <v>0</v>
      </c>
      <c r="I11" s="97"/>
      <c r="J11" s="62">
        <f t="shared" si="0"/>
        <v>0</v>
      </c>
    </row>
    <row r="12" spans="1:10" ht="19.5" customHeight="1">
      <c r="A12" s="6">
        <v>11</v>
      </c>
      <c r="B12" s="36" t="s">
        <v>193</v>
      </c>
      <c r="C12" s="37" t="s">
        <v>86</v>
      </c>
      <c r="D12" s="146">
        <v>0</v>
      </c>
      <c r="E12" s="25">
        <v>0</v>
      </c>
      <c r="F12" s="10">
        <v>0</v>
      </c>
      <c r="G12" s="97"/>
      <c r="H12" s="141">
        <v>0</v>
      </c>
      <c r="I12" s="97"/>
      <c r="J12" s="62">
        <f t="shared" si="0"/>
        <v>0</v>
      </c>
    </row>
    <row r="13" spans="1:10" ht="19.5" customHeight="1">
      <c r="A13" s="6">
        <v>12</v>
      </c>
      <c r="B13" s="36" t="s">
        <v>194</v>
      </c>
      <c r="C13" s="37" t="s">
        <v>81</v>
      </c>
      <c r="D13" s="146">
        <v>11.5</v>
      </c>
      <c r="E13" s="25">
        <v>0</v>
      </c>
      <c r="F13" s="10">
        <v>0</v>
      </c>
      <c r="G13" s="97"/>
      <c r="H13" s="141">
        <v>0</v>
      </c>
      <c r="I13" s="97"/>
      <c r="J13" s="62">
        <f t="shared" si="0"/>
        <v>11.5</v>
      </c>
    </row>
    <row r="14" spans="1:10" ht="19.5" customHeight="1">
      <c r="A14" s="6">
        <v>13</v>
      </c>
      <c r="B14" s="36" t="s">
        <v>195</v>
      </c>
      <c r="C14" s="37" t="s">
        <v>47</v>
      </c>
      <c r="D14" s="146">
        <f>1+11+4+25.5+5</f>
        <v>46.5</v>
      </c>
      <c r="E14" s="25">
        <f>15.5+7.5</f>
        <v>23</v>
      </c>
      <c r="F14" s="10">
        <v>97</v>
      </c>
      <c r="G14" s="97"/>
      <c r="H14" s="141">
        <v>26.5</v>
      </c>
      <c r="I14" s="97"/>
      <c r="J14" s="62">
        <f t="shared" si="0"/>
        <v>193</v>
      </c>
    </row>
    <row r="15" spans="1:10" ht="19.5" customHeight="1">
      <c r="A15" s="6">
        <v>14</v>
      </c>
      <c r="B15" s="36" t="s">
        <v>46</v>
      </c>
      <c r="C15" s="37" t="s">
        <v>196</v>
      </c>
      <c r="D15" s="146">
        <v>0</v>
      </c>
      <c r="E15" s="25">
        <v>7.5</v>
      </c>
      <c r="F15" s="10">
        <v>16</v>
      </c>
      <c r="G15" s="97"/>
      <c r="H15" s="141">
        <v>12.5</v>
      </c>
      <c r="I15" s="97"/>
      <c r="J15" s="62">
        <f t="shared" si="0"/>
        <v>36</v>
      </c>
    </row>
    <row r="16" spans="1:10" ht="19.5" customHeight="1">
      <c r="A16" s="6">
        <v>15</v>
      </c>
      <c r="B16" s="36" t="s">
        <v>48</v>
      </c>
      <c r="C16" s="37" t="s">
        <v>14</v>
      </c>
      <c r="D16" s="146">
        <v>36</v>
      </c>
      <c r="E16" s="25">
        <v>9.5</v>
      </c>
      <c r="F16" s="10">
        <v>29</v>
      </c>
      <c r="G16" s="97"/>
      <c r="H16" s="141">
        <v>0</v>
      </c>
      <c r="I16" s="97"/>
      <c r="J16" s="62">
        <f t="shared" si="0"/>
        <v>74.5</v>
      </c>
    </row>
    <row r="17" spans="1:10" ht="19.5" customHeight="1">
      <c r="A17" s="6">
        <v>16</v>
      </c>
      <c r="B17" s="36" t="s">
        <v>197</v>
      </c>
      <c r="C17" s="37" t="s">
        <v>81</v>
      </c>
      <c r="D17" s="146">
        <v>9</v>
      </c>
      <c r="E17" s="25">
        <f>230</f>
        <v>230</v>
      </c>
      <c r="F17" s="10">
        <v>0</v>
      </c>
      <c r="G17" s="99">
        <f>100+40</f>
        <v>140</v>
      </c>
      <c r="H17" s="141">
        <v>39</v>
      </c>
      <c r="I17" s="99"/>
      <c r="J17" s="62">
        <f t="shared" si="0"/>
        <v>418</v>
      </c>
    </row>
    <row r="18" spans="1:10" ht="19.5" customHeight="1">
      <c r="A18" s="6">
        <v>17</v>
      </c>
      <c r="B18" s="36" t="s">
        <v>198</v>
      </c>
      <c r="C18" s="37" t="s">
        <v>30</v>
      </c>
      <c r="D18" s="146">
        <f>2+10.5+8</f>
        <v>20.5</v>
      </c>
      <c r="E18" s="25">
        <v>8</v>
      </c>
      <c r="F18" s="10">
        <v>35</v>
      </c>
      <c r="G18" s="97"/>
      <c r="H18" s="141">
        <v>20</v>
      </c>
      <c r="I18" s="97"/>
      <c r="J18" s="62">
        <f t="shared" si="0"/>
        <v>83.5</v>
      </c>
    </row>
    <row r="19" spans="1:10" ht="19.5" customHeight="1">
      <c r="A19" s="6">
        <v>18</v>
      </c>
      <c r="B19" s="36" t="s">
        <v>199</v>
      </c>
      <c r="C19" s="37" t="s">
        <v>58</v>
      </c>
      <c r="D19" s="147">
        <v>0</v>
      </c>
      <c r="E19" s="166">
        <v>0</v>
      </c>
      <c r="F19" s="11">
        <v>0</v>
      </c>
      <c r="G19" s="102"/>
      <c r="H19" s="208">
        <v>7</v>
      </c>
      <c r="I19" s="102"/>
      <c r="J19" s="62">
        <f t="shared" si="0"/>
        <v>7</v>
      </c>
    </row>
    <row r="20" spans="1:10" ht="19.5" customHeight="1">
      <c r="A20" s="6">
        <v>19</v>
      </c>
      <c r="B20" s="36" t="s">
        <v>200</v>
      </c>
      <c r="C20" s="37" t="s">
        <v>201</v>
      </c>
      <c r="D20" s="147">
        <v>19</v>
      </c>
      <c r="E20" s="166">
        <v>0</v>
      </c>
      <c r="F20" s="11">
        <v>0</v>
      </c>
      <c r="G20" s="102"/>
      <c r="H20" s="208">
        <v>56</v>
      </c>
      <c r="I20" s="102"/>
      <c r="J20" s="62">
        <f t="shared" si="0"/>
        <v>75</v>
      </c>
    </row>
    <row r="21" spans="1:10" ht="19.5" customHeight="1">
      <c r="A21" s="6">
        <v>20</v>
      </c>
      <c r="B21" s="36" t="s">
        <v>299</v>
      </c>
      <c r="C21" s="37" t="s">
        <v>71</v>
      </c>
      <c r="D21" s="147">
        <v>0</v>
      </c>
      <c r="E21" s="166">
        <v>0</v>
      </c>
      <c r="F21" s="11">
        <v>0</v>
      </c>
      <c r="G21" s="102"/>
      <c r="H21" s="208">
        <v>0</v>
      </c>
      <c r="I21" s="102"/>
      <c r="J21" s="62">
        <f t="shared" si="0"/>
        <v>0</v>
      </c>
    </row>
    <row r="22" spans="1:10" ht="19.5" customHeight="1">
      <c r="A22" s="6">
        <v>21</v>
      </c>
      <c r="B22" s="36" t="s">
        <v>202</v>
      </c>
      <c r="C22" s="37" t="s">
        <v>32</v>
      </c>
      <c r="D22" s="146">
        <v>0</v>
      </c>
      <c r="E22" s="25">
        <v>0</v>
      </c>
      <c r="F22" s="10">
        <v>0</v>
      </c>
      <c r="G22" s="97"/>
      <c r="H22" s="141">
        <v>20</v>
      </c>
      <c r="I22" s="97"/>
      <c r="J22" s="62">
        <f t="shared" si="0"/>
        <v>20</v>
      </c>
    </row>
    <row r="23" spans="1:10" ht="19.5" customHeight="1">
      <c r="A23" s="6">
        <v>22</v>
      </c>
      <c r="B23" s="36" t="s">
        <v>203</v>
      </c>
      <c r="C23" s="37" t="s">
        <v>99</v>
      </c>
      <c r="D23" s="147">
        <v>13</v>
      </c>
      <c r="E23" s="166">
        <v>0</v>
      </c>
      <c r="F23" s="11">
        <v>12</v>
      </c>
      <c r="G23" s="102"/>
      <c r="H23" s="208">
        <v>0</v>
      </c>
      <c r="I23" s="102"/>
      <c r="J23" s="62">
        <f t="shared" si="0"/>
        <v>25</v>
      </c>
    </row>
    <row r="24" spans="1:10" ht="19.5" customHeight="1">
      <c r="A24" s="6">
        <v>23</v>
      </c>
      <c r="B24" s="36" t="s">
        <v>111</v>
      </c>
      <c r="C24" s="37" t="s">
        <v>204</v>
      </c>
      <c r="D24" s="146">
        <v>0</v>
      </c>
      <c r="E24" s="25">
        <v>6</v>
      </c>
      <c r="F24" s="10">
        <v>0</v>
      </c>
      <c r="G24" s="97"/>
      <c r="H24" s="141">
        <v>19.5</v>
      </c>
      <c r="I24" s="97"/>
      <c r="J24" s="62">
        <f t="shared" si="0"/>
        <v>25.5</v>
      </c>
    </row>
    <row r="25" spans="1:10" ht="19.5" customHeight="1" thickBot="1">
      <c r="A25" s="7">
        <v>24</v>
      </c>
      <c r="B25" s="38" t="s">
        <v>205</v>
      </c>
      <c r="C25" s="39" t="s">
        <v>206</v>
      </c>
      <c r="D25" s="148">
        <v>11.5</v>
      </c>
      <c r="E25" s="26">
        <v>0</v>
      </c>
      <c r="F25" s="12">
        <v>0</v>
      </c>
      <c r="G25" s="101"/>
      <c r="H25" s="142">
        <v>10.5</v>
      </c>
      <c r="I25" s="101"/>
      <c r="J25" s="63">
        <f t="shared" si="0"/>
        <v>22</v>
      </c>
    </row>
    <row r="26" spans="1:10" s="64" customFormat="1" ht="15.75">
      <c r="A26" s="73"/>
      <c r="B26" s="68" t="s">
        <v>347</v>
      </c>
      <c r="D26" s="65">
        <f>6+9+10+1</f>
        <v>26</v>
      </c>
      <c r="E26" s="65"/>
      <c r="F26" s="69"/>
      <c r="G26" s="69"/>
      <c r="H26" s="69"/>
      <c r="I26" s="69"/>
      <c r="J26" s="65">
        <f>SUM(D26:I26)</f>
        <v>26</v>
      </c>
    </row>
    <row r="27" spans="4:9" ht="15.75" thickBot="1">
      <c r="D27" s="15"/>
      <c r="E27" s="21"/>
      <c r="F27" s="189" t="s">
        <v>466</v>
      </c>
      <c r="G27" s="189" t="s">
        <v>467</v>
      </c>
      <c r="H27" s="189" t="s">
        <v>466</v>
      </c>
      <c r="I27" s="189" t="s">
        <v>467</v>
      </c>
    </row>
    <row r="28" spans="1:11" s="23" customFormat="1" ht="16.5" thickBot="1">
      <c r="A28" s="22"/>
      <c r="B28" s="78" t="s">
        <v>263</v>
      </c>
      <c r="D28" s="193">
        <f>SUM(D2:D27)</f>
        <v>322.5</v>
      </c>
      <c r="E28" s="196">
        <f>SUM(E2:E27)</f>
        <v>364.5</v>
      </c>
      <c r="F28" s="262">
        <f>SUM(F2:G26)</f>
        <v>462.5</v>
      </c>
      <c r="G28" s="260"/>
      <c r="H28" s="259">
        <f>SUM(H2:I26)</f>
        <v>624.5</v>
      </c>
      <c r="I28" s="260"/>
      <c r="J28" s="77">
        <f>SUM(J2:J27)</f>
        <v>1774</v>
      </c>
      <c r="K28" s="176"/>
    </row>
    <row r="29" ht="12.75">
      <c r="D29" s="20"/>
    </row>
    <row r="30" ht="12.75">
      <c r="F30" s="17"/>
    </row>
  </sheetData>
  <mergeCells count="4">
    <mergeCell ref="F1:G1"/>
    <mergeCell ref="F28:G28"/>
    <mergeCell ref="H1:I1"/>
    <mergeCell ref="H28:I28"/>
  </mergeCells>
  <printOptions/>
  <pageMargins left="0.75" right="0.75" top="1" bottom="1" header="0.4921259845" footer="0.4921259845"/>
  <pageSetup fitToHeight="1" fitToWidth="1" horizontalDpi="300" verticalDpi="300" orientation="landscape" paperSize="9" scale="84" r:id="rId1"/>
  <headerFooter alignWithMargins="0">
    <oddHeader>&amp;C&amp;"Arial,Tučné"&amp;16Sběr 2009 - 2010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H2" sqref="H2:H2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5" t="s">
        <v>259</v>
      </c>
      <c r="B1" s="4" t="s">
        <v>261</v>
      </c>
      <c r="C1" s="3" t="s">
        <v>262</v>
      </c>
      <c r="D1" s="143" t="s">
        <v>457</v>
      </c>
      <c r="E1" s="159" t="s">
        <v>460</v>
      </c>
      <c r="F1" s="191" t="s">
        <v>461</v>
      </c>
      <c r="G1" s="159" t="s">
        <v>468</v>
      </c>
      <c r="H1" s="60" t="s">
        <v>304</v>
      </c>
    </row>
    <row r="2" spans="1:8" ht="19.5" customHeight="1">
      <c r="A2" s="125">
        <v>1</v>
      </c>
      <c r="B2" s="44" t="s">
        <v>208</v>
      </c>
      <c r="C2" s="45" t="s">
        <v>40</v>
      </c>
      <c r="D2" s="145">
        <v>0</v>
      </c>
      <c r="E2" s="152">
        <v>0</v>
      </c>
      <c r="F2" s="145">
        <v>5.5</v>
      </c>
      <c r="G2" s="151">
        <v>5</v>
      </c>
      <c r="H2" s="61">
        <f>SUM(D2:G2)</f>
        <v>10.5</v>
      </c>
    </row>
    <row r="3" spans="1:8" ht="19.5" customHeight="1">
      <c r="A3" s="82">
        <v>2</v>
      </c>
      <c r="B3" s="46" t="s">
        <v>209</v>
      </c>
      <c r="C3" s="47" t="s">
        <v>78</v>
      </c>
      <c r="D3" s="146">
        <v>29</v>
      </c>
      <c r="E3" s="25">
        <v>0</v>
      </c>
      <c r="F3" s="146">
        <v>0</v>
      </c>
      <c r="G3" s="141">
        <v>60</v>
      </c>
      <c r="H3" s="62">
        <f aca="true" t="shared" si="0" ref="H3:H24">SUM(D3:G3)</f>
        <v>89</v>
      </c>
    </row>
    <row r="4" spans="1:8" ht="19.5" customHeight="1">
      <c r="A4" s="82">
        <v>3</v>
      </c>
      <c r="B4" s="46" t="s">
        <v>210</v>
      </c>
      <c r="C4" s="47" t="s">
        <v>211</v>
      </c>
      <c r="D4" s="146">
        <v>0</v>
      </c>
      <c r="E4" s="25">
        <v>7</v>
      </c>
      <c r="F4" s="146">
        <v>0</v>
      </c>
      <c r="G4" s="141">
        <v>0</v>
      </c>
      <c r="H4" s="62">
        <f t="shared" si="0"/>
        <v>7</v>
      </c>
    </row>
    <row r="5" spans="1:8" ht="19.5" customHeight="1">
      <c r="A5" s="82">
        <v>4</v>
      </c>
      <c r="B5" s="46" t="s">
        <v>212</v>
      </c>
      <c r="C5" s="47" t="s">
        <v>213</v>
      </c>
      <c r="D5" s="146">
        <v>65</v>
      </c>
      <c r="E5" s="25">
        <v>76</v>
      </c>
      <c r="F5" s="146">
        <v>113</v>
      </c>
      <c r="G5" s="141">
        <v>20</v>
      </c>
      <c r="H5" s="62">
        <f t="shared" si="0"/>
        <v>274</v>
      </c>
    </row>
    <row r="6" spans="1:8" ht="19.5" customHeight="1">
      <c r="A6" s="82">
        <v>5</v>
      </c>
      <c r="B6" s="46" t="s">
        <v>214</v>
      </c>
      <c r="C6" s="47" t="s">
        <v>78</v>
      </c>
      <c r="D6" s="146">
        <v>3</v>
      </c>
      <c r="E6" s="25">
        <v>85</v>
      </c>
      <c r="F6" s="146">
        <v>7</v>
      </c>
      <c r="G6" s="141">
        <v>94.5</v>
      </c>
      <c r="H6" s="62">
        <f t="shared" si="0"/>
        <v>189.5</v>
      </c>
    </row>
    <row r="7" spans="1:8" ht="19.5" customHeight="1">
      <c r="A7" s="82">
        <v>6</v>
      </c>
      <c r="B7" s="46" t="s">
        <v>94</v>
      </c>
      <c r="C7" s="47" t="s">
        <v>49</v>
      </c>
      <c r="D7" s="146">
        <v>0</v>
      </c>
      <c r="E7" s="25">
        <v>0</v>
      </c>
      <c r="F7" s="146">
        <v>0</v>
      </c>
      <c r="G7" s="141">
        <v>10.5</v>
      </c>
      <c r="H7" s="62">
        <f t="shared" si="0"/>
        <v>10.5</v>
      </c>
    </row>
    <row r="8" spans="1:8" ht="19.5" customHeight="1">
      <c r="A8" s="82">
        <v>7</v>
      </c>
      <c r="B8" s="46" t="s">
        <v>215</v>
      </c>
      <c r="C8" s="47" t="s">
        <v>49</v>
      </c>
      <c r="D8" s="146">
        <v>140</v>
      </c>
      <c r="E8" s="25">
        <v>127</v>
      </c>
      <c r="F8" s="146">
        <v>112</v>
      </c>
      <c r="G8" s="141">
        <v>0</v>
      </c>
      <c r="H8" s="62">
        <f t="shared" si="0"/>
        <v>379</v>
      </c>
    </row>
    <row r="9" spans="1:8" ht="19.5" customHeight="1">
      <c r="A9" s="82">
        <v>8</v>
      </c>
      <c r="B9" s="46" t="s">
        <v>216</v>
      </c>
      <c r="C9" s="47" t="s">
        <v>217</v>
      </c>
      <c r="D9" s="146">
        <v>10</v>
      </c>
      <c r="E9" s="25">
        <v>16</v>
      </c>
      <c r="F9" s="146">
        <v>30</v>
      </c>
      <c r="G9" s="141">
        <v>20</v>
      </c>
      <c r="H9" s="62">
        <f t="shared" si="0"/>
        <v>76</v>
      </c>
    </row>
    <row r="10" spans="1:8" ht="19.5" customHeight="1">
      <c r="A10" s="82">
        <v>9</v>
      </c>
      <c r="B10" s="46" t="s">
        <v>218</v>
      </c>
      <c r="C10" s="47" t="s">
        <v>219</v>
      </c>
      <c r="D10" s="146">
        <v>154</v>
      </c>
      <c r="E10" s="25">
        <f>66+120</f>
        <v>186</v>
      </c>
      <c r="F10" s="146">
        <v>20</v>
      </c>
      <c r="G10" s="141">
        <f>100+10</f>
        <v>110</v>
      </c>
      <c r="H10" s="62">
        <f t="shared" si="0"/>
        <v>470</v>
      </c>
    </row>
    <row r="11" spans="1:8" ht="19.5" customHeight="1">
      <c r="A11" s="82">
        <v>10</v>
      </c>
      <c r="B11" s="46" t="s">
        <v>220</v>
      </c>
      <c r="C11" s="47" t="s">
        <v>18</v>
      </c>
      <c r="D11" s="146">
        <v>1</v>
      </c>
      <c r="E11" s="25">
        <v>4</v>
      </c>
      <c r="F11" s="146">
        <v>2</v>
      </c>
      <c r="G11" s="141">
        <v>2.5</v>
      </c>
      <c r="H11" s="62">
        <f t="shared" si="0"/>
        <v>9.5</v>
      </c>
    </row>
    <row r="12" spans="1:8" ht="19.5" customHeight="1">
      <c r="A12" s="82">
        <v>11</v>
      </c>
      <c r="B12" s="46" t="s">
        <v>221</v>
      </c>
      <c r="C12" s="47" t="s">
        <v>222</v>
      </c>
      <c r="D12" s="146">
        <v>23</v>
      </c>
      <c r="E12" s="25">
        <v>30</v>
      </c>
      <c r="F12" s="146">
        <v>15</v>
      </c>
      <c r="G12" s="141">
        <v>11</v>
      </c>
      <c r="H12" s="62">
        <f t="shared" si="0"/>
        <v>79</v>
      </c>
    </row>
    <row r="13" spans="1:8" ht="19.5" customHeight="1">
      <c r="A13" s="82">
        <v>12</v>
      </c>
      <c r="B13" s="46" t="s">
        <v>223</v>
      </c>
      <c r="C13" s="47" t="s">
        <v>224</v>
      </c>
      <c r="D13" s="146">
        <v>0</v>
      </c>
      <c r="E13" s="25">
        <v>0</v>
      </c>
      <c r="F13" s="146">
        <v>0</v>
      </c>
      <c r="G13" s="141">
        <v>0</v>
      </c>
      <c r="H13" s="62">
        <f t="shared" si="0"/>
        <v>0</v>
      </c>
    </row>
    <row r="14" spans="1:8" ht="19.5" customHeight="1">
      <c r="A14" s="82">
        <v>13</v>
      </c>
      <c r="B14" s="46" t="s">
        <v>225</v>
      </c>
      <c r="C14" s="47" t="s">
        <v>43</v>
      </c>
      <c r="D14" s="146">
        <v>5</v>
      </c>
      <c r="E14" s="25">
        <v>0</v>
      </c>
      <c r="F14" s="146">
        <v>0</v>
      </c>
      <c r="G14" s="141">
        <v>0</v>
      </c>
      <c r="H14" s="62">
        <f t="shared" si="0"/>
        <v>5</v>
      </c>
    </row>
    <row r="15" spans="1:8" ht="19.5" customHeight="1">
      <c r="A15" s="82">
        <v>14</v>
      </c>
      <c r="B15" s="46" t="s">
        <v>84</v>
      </c>
      <c r="C15" s="47" t="s">
        <v>226</v>
      </c>
      <c r="D15" s="146">
        <v>0</v>
      </c>
      <c r="E15" s="25">
        <v>8</v>
      </c>
      <c r="F15" s="146">
        <v>0</v>
      </c>
      <c r="G15" s="141">
        <v>10.5</v>
      </c>
      <c r="H15" s="62">
        <f t="shared" si="0"/>
        <v>18.5</v>
      </c>
    </row>
    <row r="16" spans="1:8" ht="19.5" customHeight="1">
      <c r="A16" s="82">
        <v>15</v>
      </c>
      <c r="B16" s="46" t="s">
        <v>227</v>
      </c>
      <c r="C16" s="47" t="s">
        <v>228</v>
      </c>
      <c r="D16" s="146">
        <v>0</v>
      </c>
      <c r="E16" s="25">
        <v>5.5</v>
      </c>
      <c r="F16" s="146">
        <v>0</v>
      </c>
      <c r="G16" s="141">
        <v>0</v>
      </c>
      <c r="H16" s="62">
        <f t="shared" si="0"/>
        <v>5.5</v>
      </c>
    </row>
    <row r="17" spans="1:8" ht="19.5" customHeight="1">
      <c r="A17" s="82">
        <v>16</v>
      </c>
      <c r="B17" s="46" t="s">
        <v>229</v>
      </c>
      <c r="C17" s="47" t="s">
        <v>16</v>
      </c>
      <c r="D17" s="146">
        <v>25</v>
      </c>
      <c r="E17" s="25">
        <v>12</v>
      </c>
      <c r="F17" s="146">
        <f>13+7</f>
        <v>20</v>
      </c>
      <c r="G17" s="141">
        <v>40</v>
      </c>
      <c r="H17" s="62">
        <f t="shared" si="0"/>
        <v>97</v>
      </c>
    </row>
    <row r="18" spans="1:8" ht="19.5" customHeight="1">
      <c r="A18" s="82">
        <v>17</v>
      </c>
      <c r="B18" s="46" t="s">
        <v>230</v>
      </c>
      <c r="C18" s="47" t="s">
        <v>228</v>
      </c>
      <c r="D18" s="149">
        <v>10</v>
      </c>
      <c r="E18" s="25">
        <v>20</v>
      </c>
      <c r="F18" s="146">
        <v>34</v>
      </c>
      <c r="G18" s="141">
        <v>38</v>
      </c>
      <c r="H18" s="62">
        <f t="shared" si="0"/>
        <v>102</v>
      </c>
    </row>
    <row r="19" spans="1:8" ht="19.5" customHeight="1">
      <c r="A19" s="82">
        <v>18</v>
      </c>
      <c r="B19" s="59" t="s">
        <v>136</v>
      </c>
      <c r="C19" s="47" t="s">
        <v>63</v>
      </c>
      <c r="D19" s="147">
        <v>0</v>
      </c>
      <c r="E19" s="166">
        <v>0</v>
      </c>
      <c r="F19" s="147">
        <v>10</v>
      </c>
      <c r="G19" s="208">
        <v>10</v>
      </c>
      <c r="H19" s="62">
        <f t="shared" si="0"/>
        <v>20</v>
      </c>
    </row>
    <row r="20" spans="1:8" ht="19.5" customHeight="1">
      <c r="A20" s="82">
        <v>19</v>
      </c>
      <c r="B20" s="46" t="s">
        <v>232</v>
      </c>
      <c r="C20" s="47" t="s">
        <v>56</v>
      </c>
      <c r="D20" s="146">
        <v>0</v>
      </c>
      <c r="E20" s="25">
        <v>0</v>
      </c>
      <c r="F20" s="146">
        <v>6</v>
      </c>
      <c r="G20" s="141">
        <v>0</v>
      </c>
      <c r="H20" s="62">
        <f t="shared" si="0"/>
        <v>6</v>
      </c>
    </row>
    <row r="21" spans="1:8" ht="19.5" customHeight="1">
      <c r="A21" s="82">
        <v>20</v>
      </c>
      <c r="B21" s="46" t="s">
        <v>88</v>
      </c>
      <c r="C21" s="47" t="s">
        <v>233</v>
      </c>
      <c r="D21" s="147">
        <v>8</v>
      </c>
      <c r="E21" s="166">
        <v>1</v>
      </c>
      <c r="F21" s="147">
        <v>8</v>
      </c>
      <c r="G21" s="208">
        <v>7</v>
      </c>
      <c r="H21" s="62">
        <f t="shared" si="0"/>
        <v>24</v>
      </c>
    </row>
    <row r="22" spans="1:8" ht="19.5" customHeight="1">
      <c r="A22" s="82">
        <v>21</v>
      </c>
      <c r="B22" s="46" t="s">
        <v>300</v>
      </c>
      <c r="C22" s="47" t="s">
        <v>65</v>
      </c>
      <c r="D22" s="146">
        <v>49</v>
      </c>
      <c r="E22" s="25">
        <v>24</v>
      </c>
      <c r="F22" s="146">
        <v>10</v>
      </c>
      <c r="G22" s="141">
        <v>22</v>
      </c>
      <c r="H22" s="62">
        <f t="shared" si="0"/>
        <v>105</v>
      </c>
    </row>
    <row r="23" spans="1:8" ht="19.5" customHeight="1">
      <c r="A23" s="82">
        <v>22</v>
      </c>
      <c r="B23" s="46" t="s">
        <v>234</v>
      </c>
      <c r="C23" s="47" t="s">
        <v>85</v>
      </c>
      <c r="D23" s="147">
        <v>0</v>
      </c>
      <c r="E23" s="166">
        <v>1</v>
      </c>
      <c r="F23" s="147">
        <v>0</v>
      </c>
      <c r="G23" s="208">
        <v>0</v>
      </c>
      <c r="H23" s="62">
        <f t="shared" si="0"/>
        <v>1</v>
      </c>
    </row>
    <row r="24" spans="1:8" ht="19.5" customHeight="1" thickBot="1">
      <c r="A24" s="83">
        <v>23</v>
      </c>
      <c r="B24" s="48" t="s">
        <v>235</v>
      </c>
      <c r="C24" s="49" t="s">
        <v>78</v>
      </c>
      <c r="D24" s="148">
        <v>0</v>
      </c>
      <c r="E24" s="26">
        <v>4</v>
      </c>
      <c r="F24" s="148">
        <v>13</v>
      </c>
      <c r="G24" s="142">
        <v>0</v>
      </c>
      <c r="H24" s="63">
        <f t="shared" si="0"/>
        <v>17</v>
      </c>
    </row>
    <row r="25" spans="1:8" s="64" customFormat="1" ht="15.75">
      <c r="A25" s="72"/>
      <c r="B25" s="68" t="s">
        <v>347</v>
      </c>
      <c r="D25" s="65">
        <v>7</v>
      </c>
      <c r="E25" s="65"/>
      <c r="F25" s="65"/>
      <c r="G25" s="65"/>
      <c r="H25" s="65">
        <f>SUM(D25:G25)</f>
        <v>7</v>
      </c>
    </row>
    <row r="26" spans="4:7" ht="15.75" thickBot="1">
      <c r="D26" s="14"/>
      <c r="E26" s="13"/>
      <c r="F26" s="13"/>
      <c r="G26" s="13"/>
    </row>
    <row r="27" spans="1:9" s="23" customFormat="1" ht="16.5" thickBot="1">
      <c r="A27" s="22"/>
      <c r="B27" s="78" t="s">
        <v>263</v>
      </c>
      <c r="D27" s="193">
        <f>SUM(D2:D26)</f>
        <v>529</v>
      </c>
      <c r="E27" s="196">
        <f>SUM(E2:E26)</f>
        <v>606.5</v>
      </c>
      <c r="F27" s="194">
        <f>SUM(F2:F25)</f>
        <v>405.5</v>
      </c>
      <c r="G27" s="196">
        <f>SUM(G2:G25)</f>
        <v>461</v>
      </c>
      <c r="H27" s="77">
        <f>SUM(H2:H25)</f>
        <v>2002</v>
      </c>
      <c r="I27" s="176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2009 - 2010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J2" sqref="J2:J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3" t="s">
        <v>260</v>
      </c>
      <c r="B1" s="4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5">
        <v>1</v>
      </c>
      <c r="B2" s="51" t="s">
        <v>236</v>
      </c>
      <c r="C2" s="52" t="s">
        <v>124</v>
      </c>
      <c r="D2" s="145">
        <v>27</v>
      </c>
      <c r="E2" s="152">
        <v>0</v>
      </c>
      <c r="F2" s="154">
        <v>40</v>
      </c>
      <c r="G2" s="98"/>
      <c r="H2" s="151">
        <v>0</v>
      </c>
      <c r="I2" s="98"/>
      <c r="J2" s="61">
        <f>SUM(D2:I2)</f>
        <v>67</v>
      </c>
    </row>
    <row r="3" spans="1:10" ht="19.5" customHeight="1">
      <c r="A3" s="6">
        <v>2</v>
      </c>
      <c r="B3" s="53" t="s">
        <v>237</v>
      </c>
      <c r="C3" s="54" t="s">
        <v>30</v>
      </c>
      <c r="D3" s="146">
        <v>11</v>
      </c>
      <c r="E3" s="25">
        <v>50</v>
      </c>
      <c r="F3" s="10">
        <f>10+90</f>
        <v>100</v>
      </c>
      <c r="G3" s="97"/>
      <c r="H3" s="141">
        <v>40</v>
      </c>
      <c r="I3" s="97"/>
      <c r="J3" s="62">
        <f aca="true" t="shared" si="0" ref="J3:J23">SUM(D3:I3)</f>
        <v>201</v>
      </c>
    </row>
    <row r="4" spans="1:10" ht="19.5" customHeight="1">
      <c r="A4" s="6">
        <v>3</v>
      </c>
      <c r="B4" s="53" t="s">
        <v>238</v>
      </c>
      <c r="C4" s="54" t="s">
        <v>63</v>
      </c>
      <c r="D4" s="146">
        <v>10</v>
      </c>
      <c r="E4" s="25">
        <v>0</v>
      </c>
      <c r="F4" s="10">
        <v>11</v>
      </c>
      <c r="G4" s="97"/>
      <c r="H4" s="141">
        <v>0</v>
      </c>
      <c r="I4" s="97"/>
      <c r="J4" s="62">
        <f t="shared" si="0"/>
        <v>21</v>
      </c>
    </row>
    <row r="5" spans="1:10" ht="19.5" customHeight="1">
      <c r="A5" s="6">
        <v>4</v>
      </c>
      <c r="B5" s="53" t="s">
        <v>239</v>
      </c>
      <c r="C5" s="54" t="s">
        <v>217</v>
      </c>
      <c r="D5" s="146">
        <v>41</v>
      </c>
      <c r="E5" s="25">
        <v>45</v>
      </c>
      <c r="F5" s="10">
        <v>65</v>
      </c>
      <c r="G5" s="97"/>
      <c r="H5" s="141">
        <v>40</v>
      </c>
      <c r="I5" s="97"/>
      <c r="J5" s="62">
        <f t="shared" si="0"/>
        <v>191</v>
      </c>
    </row>
    <row r="6" spans="1:10" ht="19.5" customHeight="1">
      <c r="A6" s="6">
        <v>5</v>
      </c>
      <c r="B6" s="53" t="s">
        <v>239</v>
      </c>
      <c r="C6" s="54" t="s">
        <v>14</v>
      </c>
      <c r="D6" s="146">
        <v>37</v>
      </c>
      <c r="E6" s="25">
        <v>31.5</v>
      </c>
      <c r="F6" s="10">
        <v>33</v>
      </c>
      <c r="G6" s="97"/>
      <c r="H6" s="141">
        <v>0</v>
      </c>
      <c r="I6" s="97"/>
      <c r="J6" s="62">
        <f t="shared" si="0"/>
        <v>101.5</v>
      </c>
    </row>
    <row r="7" spans="1:10" ht="19.5" customHeight="1">
      <c r="A7" s="6">
        <v>6</v>
      </c>
      <c r="B7" s="53" t="s">
        <v>240</v>
      </c>
      <c r="C7" s="54" t="s">
        <v>241</v>
      </c>
      <c r="D7" s="146">
        <v>62</v>
      </c>
      <c r="E7" s="25">
        <v>19.5</v>
      </c>
      <c r="F7" s="10">
        <v>104.5</v>
      </c>
      <c r="G7" s="97"/>
      <c r="H7" s="141">
        <v>0</v>
      </c>
      <c r="I7" s="97"/>
      <c r="J7" s="62">
        <f t="shared" si="0"/>
        <v>186</v>
      </c>
    </row>
    <row r="8" spans="1:10" ht="19.5" customHeight="1">
      <c r="A8" s="6">
        <v>7</v>
      </c>
      <c r="B8" s="53" t="s">
        <v>242</v>
      </c>
      <c r="C8" s="54" t="s">
        <v>241</v>
      </c>
      <c r="D8" s="146">
        <v>0</v>
      </c>
      <c r="E8" s="25">
        <v>0</v>
      </c>
      <c r="F8" s="10">
        <v>0</v>
      </c>
      <c r="G8" s="97"/>
      <c r="H8" s="141">
        <v>0</v>
      </c>
      <c r="I8" s="97"/>
      <c r="J8" s="62">
        <f t="shared" si="0"/>
        <v>0</v>
      </c>
    </row>
    <row r="9" spans="1:10" ht="19.5" customHeight="1">
      <c r="A9" s="6">
        <v>8</v>
      </c>
      <c r="B9" s="53" t="s">
        <v>243</v>
      </c>
      <c r="C9" s="54" t="s">
        <v>69</v>
      </c>
      <c r="D9" s="146">
        <v>10</v>
      </c>
      <c r="E9" s="25">
        <v>0</v>
      </c>
      <c r="F9" s="10">
        <v>2</v>
      </c>
      <c r="G9" s="97"/>
      <c r="H9" s="141">
        <v>0</v>
      </c>
      <c r="I9" s="97"/>
      <c r="J9" s="62">
        <f t="shared" si="0"/>
        <v>12</v>
      </c>
    </row>
    <row r="10" spans="1:10" ht="19.5" customHeight="1">
      <c r="A10" s="6">
        <v>9</v>
      </c>
      <c r="B10" s="53" t="s">
        <v>244</v>
      </c>
      <c r="C10" s="54" t="s">
        <v>23</v>
      </c>
      <c r="D10" s="146">
        <v>40</v>
      </c>
      <c r="E10" s="25">
        <f>85+62</f>
        <v>147</v>
      </c>
      <c r="F10" s="10">
        <v>46</v>
      </c>
      <c r="G10" s="97"/>
      <c r="H10" s="141">
        <v>12</v>
      </c>
      <c r="I10" s="97"/>
      <c r="J10" s="62">
        <f t="shared" si="0"/>
        <v>245</v>
      </c>
    </row>
    <row r="11" spans="1:10" ht="19.5" customHeight="1">
      <c r="A11" s="6">
        <v>10</v>
      </c>
      <c r="B11" s="53" t="s">
        <v>245</v>
      </c>
      <c r="C11" s="54" t="s">
        <v>86</v>
      </c>
      <c r="D11" s="146">
        <v>10</v>
      </c>
      <c r="E11" s="25">
        <v>0</v>
      </c>
      <c r="F11" s="10">
        <v>11</v>
      </c>
      <c r="G11" s="97"/>
      <c r="H11" s="141">
        <v>0</v>
      </c>
      <c r="I11" s="97"/>
      <c r="J11" s="62">
        <f t="shared" si="0"/>
        <v>21</v>
      </c>
    </row>
    <row r="12" spans="1:10" ht="19.5" customHeight="1">
      <c r="A12" s="6">
        <v>11</v>
      </c>
      <c r="B12" s="53" t="s">
        <v>246</v>
      </c>
      <c r="C12" s="54" t="s">
        <v>78</v>
      </c>
      <c r="D12" s="146">
        <v>10</v>
      </c>
      <c r="E12" s="25">
        <v>0</v>
      </c>
      <c r="F12" s="10">
        <f>10+70+26</f>
        <v>106</v>
      </c>
      <c r="G12" s="97"/>
      <c r="H12" s="141">
        <v>14.5</v>
      </c>
      <c r="I12" s="97"/>
      <c r="J12" s="62">
        <f t="shared" si="0"/>
        <v>130.5</v>
      </c>
    </row>
    <row r="13" spans="1:10" ht="19.5" customHeight="1">
      <c r="A13" s="6">
        <v>12</v>
      </c>
      <c r="B13" s="53" t="s">
        <v>247</v>
      </c>
      <c r="C13" s="54" t="s">
        <v>87</v>
      </c>
      <c r="D13" s="146">
        <v>11</v>
      </c>
      <c r="E13" s="25">
        <v>0</v>
      </c>
      <c r="F13" s="10">
        <v>12</v>
      </c>
      <c r="G13" s="97"/>
      <c r="H13" s="141">
        <v>0</v>
      </c>
      <c r="I13" s="97"/>
      <c r="J13" s="62">
        <f t="shared" si="0"/>
        <v>23</v>
      </c>
    </row>
    <row r="14" spans="1:10" ht="19.5" customHeight="1">
      <c r="A14" s="6">
        <v>13</v>
      </c>
      <c r="B14" s="53" t="s">
        <v>198</v>
      </c>
      <c r="C14" s="54" t="s">
        <v>4</v>
      </c>
      <c r="D14" s="146">
        <v>0</v>
      </c>
      <c r="E14" s="25">
        <v>0</v>
      </c>
      <c r="F14" s="10">
        <v>0</v>
      </c>
      <c r="G14" s="97"/>
      <c r="H14" s="141">
        <v>0</v>
      </c>
      <c r="I14" s="97"/>
      <c r="J14" s="62">
        <f t="shared" si="0"/>
        <v>0</v>
      </c>
    </row>
    <row r="15" spans="1:10" ht="19.5" customHeight="1">
      <c r="A15" s="6">
        <v>14</v>
      </c>
      <c r="B15" s="53" t="s">
        <v>55</v>
      </c>
      <c r="C15" s="54" t="s">
        <v>73</v>
      </c>
      <c r="D15" s="146">
        <v>10</v>
      </c>
      <c r="E15" s="25">
        <f>370</f>
        <v>370</v>
      </c>
      <c r="F15" s="185">
        <v>10</v>
      </c>
      <c r="G15" s="99">
        <f>540</f>
        <v>540</v>
      </c>
      <c r="H15" s="141">
        <v>43.5</v>
      </c>
      <c r="I15" s="99"/>
      <c r="J15" s="62">
        <f t="shared" si="0"/>
        <v>973.5</v>
      </c>
    </row>
    <row r="16" spans="1:10" ht="19.5" customHeight="1">
      <c r="A16" s="6">
        <v>15</v>
      </c>
      <c r="B16" s="53" t="s">
        <v>104</v>
      </c>
      <c r="C16" s="54" t="s">
        <v>101</v>
      </c>
      <c r="D16" s="146">
        <v>27</v>
      </c>
      <c r="E16" s="25">
        <v>25</v>
      </c>
      <c r="F16" s="10">
        <v>22</v>
      </c>
      <c r="G16" s="97"/>
      <c r="H16" s="141">
        <v>11.5</v>
      </c>
      <c r="I16" s="97"/>
      <c r="J16" s="62">
        <f t="shared" si="0"/>
        <v>85.5</v>
      </c>
    </row>
    <row r="17" spans="1:10" ht="19.5" customHeight="1">
      <c r="A17" s="6">
        <v>16</v>
      </c>
      <c r="B17" s="53" t="s">
        <v>248</v>
      </c>
      <c r="C17" s="54" t="s">
        <v>156</v>
      </c>
      <c r="D17" s="146">
        <v>10</v>
      </c>
      <c r="E17" s="25">
        <v>18.5</v>
      </c>
      <c r="F17" s="10">
        <v>11</v>
      </c>
      <c r="G17" s="97"/>
      <c r="H17" s="141">
        <v>0</v>
      </c>
      <c r="I17" s="97"/>
      <c r="J17" s="62">
        <f t="shared" si="0"/>
        <v>39.5</v>
      </c>
    </row>
    <row r="18" spans="1:10" ht="19.5" customHeight="1">
      <c r="A18" s="6">
        <v>17</v>
      </c>
      <c r="B18" s="53" t="s">
        <v>134</v>
      </c>
      <c r="C18" s="54" t="s">
        <v>14</v>
      </c>
      <c r="D18" s="146">
        <f>26+7.5+20</f>
        <v>53.5</v>
      </c>
      <c r="E18" s="25">
        <v>25</v>
      </c>
      <c r="F18" s="10">
        <f>110+18</f>
        <v>128</v>
      </c>
      <c r="G18" s="97"/>
      <c r="H18" s="141">
        <f>8.5+5</f>
        <v>13.5</v>
      </c>
      <c r="I18" s="97"/>
      <c r="J18" s="62">
        <f t="shared" si="0"/>
        <v>220</v>
      </c>
    </row>
    <row r="19" spans="1:10" ht="19.5" customHeight="1">
      <c r="A19" s="6">
        <v>18</v>
      </c>
      <c r="B19" s="53" t="s">
        <v>249</v>
      </c>
      <c r="C19" s="54" t="s">
        <v>40</v>
      </c>
      <c r="D19" s="146">
        <v>12</v>
      </c>
      <c r="E19" s="25">
        <v>4</v>
      </c>
      <c r="F19" s="10">
        <v>11</v>
      </c>
      <c r="G19" s="97"/>
      <c r="H19" s="141">
        <v>10.5</v>
      </c>
      <c r="I19" s="97"/>
      <c r="J19" s="62">
        <f t="shared" si="0"/>
        <v>37.5</v>
      </c>
    </row>
    <row r="20" spans="1:10" ht="19.5" customHeight="1">
      <c r="A20" s="6">
        <v>19</v>
      </c>
      <c r="B20" s="53" t="s">
        <v>250</v>
      </c>
      <c r="C20" s="54" t="s">
        <v>77</v>
      </c>
      <c r="D20" s="146">
        <v>0</v>
      </c>
      <c r="E20" s="25">
        <v>0</v>
      </c>
      <c r="F20" s="10">
        <v>35</v>
      </c>
      <c r="G20" s="97"/>
      <c r="H20" s="141">
        <f>18+24</f>
        <v>42</v>
      </c>
      <c r="I20" s="97"/>
      <c r="J20" s="62">
        <f t="shared" si="0"/>
        <v>77</v>
      </c>
    </row>
    <row r="21" spans="1:10" ht="19.5" customHeight="1">
      <c r="A21" s="6">
        <v>20</v>
      </c>
      <c r="B21" s="53" t="s">
        <v>251</v>
      </c>
      <c r="C21" s="54" t="s">
        <v>56</v>
      </c>
      <c r="D21" s="146">
        <v>33</v>
      </c>
      <c r="E21" s="25">
        <v>2</v>
      </c>
      <c r="F21" s="10">
        <v>77</v>
      </c>
      <c r="G21" s="97"/>
      <c r="H21" s="141">
        <v>0</v>
      </c>
      <c r="I21" s="97"/>
      <c r="J21" s="62">
        <f t="shared" si="0"/>
        <v>112</v>
      </c>
    </row>
    <row r="22" spans="1:10" ht="19.5" customHeight="1">
      <c r="A22" s="6">
        <v>21</v>
      </c>
      <c r="B22" s="53" t="s">
        <v>252</v>
      </c>
      <c r="C22" s="54" t="s">
        <v>40</v>
      </c>
      <c r="D22" s="147">
        <f>28+11+6</f>
        <v>45</v>
      </c>
      <c r="E22" s="166">
        <v>0</v>
      </c>
      <c r="F22" s="11">
        <v>13</v>
      </c>
      <c r="G22" s="102"/>
      <c r="H22" s="208">
        <v>23</v>
      </c>
      <c r="I22" s="102"/>
      <c r="J22" s="62">
        <f t="shared" si="0"/>
        <v>81</v>
      </c>
    </row>
    <row r="23" spans="1:10" ht="19.5" customHeight="1" thickBot="1">
      <c r="A23" s="7">
        <v>22</v>
      </c>
      <c r="B23" s="55" t="s">
        <v>253</v>
      </c>
      <c r="C23" s="56" t="s">
        <v>63</v>
      </c>
      <c r="D23" s="148">
        <v>11</v>
      </c>
      <c r="E23" s="26">
        <v>16</v>
      </c>
      <c r="F23" s="12">
        <f>11+17</f>
        <v>28</v>
      </c>
      <c r="G23" s="101"/>
      <c r="H23" s="142">
        <v>10.5</v>
      </c>
      <c r="I23" s="101"/>
      <c r="J23" s="63">
        <f t="shared" si="0"/>
        <v>65.5</v>
      </c>
    </row>
    <row r="24" spans="1:10" s="64" customFormat="1" ht="15.75">
      <c r="A24" s="72"/>
      <c r="B24" s="68" t="s">
        <v>347</v>
      </c>
      <c r="D24" s="65">
        <f>20+52+15+10+1</f>
        <v>98</v>
      </c>
      <c r="E24" s="65">
        <v>7</v>
      </c>
      <c r="F24" s="65">
        <f>9+11+10+7</f>
        <v>37</v>
      </c>
      <c r="G24" s="65"/>
      <c r="H24" s="65"/>
      <c r="I24" s="65"/>
      <c r="J24" s="75">
        <f>SUM(D24:I24)</f>
        <v>142</v>
      </c>
    </row>
    <row r="25" spans="4:9" ht="15.75" thickBot="1">
      <c r="D25" s="15"/>
      <c r="E25" s="13"/>
      <c r="F25" s="189" t="s">
        <v>466</v>
      </c>
      <c r="G25" s="189" t="s">
        <v>467</v>
      </c>
      <c r="H25" s="189"/>
      <c r="I25" s="189"/>
    </row>
    <row r="26" spans="1:11" s="23" customFormat="1" ht="16.5" thickBot="1">
      <c r="A26" s="22"/>
      <c r="B26" s="78" t="s">
        <v>263</v>
      </c>
      <c r="D26" s="193">
        <f>SUM(D2:D25)</f>
        <v>568.5</v>
      </c>
      <c r="E26" s="196">
        <f>SUM(E2:E25)</f>
        <v>760.5</v>
      </c>
      <c r="F26" s="262">
        <f>SUM(F2:G24)</f>
        <v>1442.5</v>
      </c>
      <c r="G26" s="268"/>
      <c r="H26" s="259">
        <f>SUM(H2:I24)</f>
        <v>261</v>
      </c>
      <c r="I26" s="268"/>
      <c r="J26" s="77">
        <f>SUM(J2:J25)</f>
        <v>3032.5</v>
      </c>
      <c r="K26" s="176"/>
    </row>
    <row r="27" ht="12.75">
      <c r="J27" s="17"/>
    </row>
    <row r="28" ht="12.75">
      <c r="F28" s="17"/>
    </row>
  </sheetData>
  <mergeCells count="4">
    <mergeCell ref="F1:G1"/>
    <mergeCell ref="F26:G26"/>
    <mergeCell ref="H1:I1"/>
    <mergeCell ref="H26:I26"/>
  </mergeCells>
  <printOptions/>
  <pageMargins left="0.75" right="0.75" top="1" bottom="1" header="0.4921259845" footer="0.4921259845"/>
  <pageSetup fitToHeight="1" fitToWidth="1" horizontalDpi="300" verticalDpi="300" orientation="landscape" paperSize="9" scale="91" r:id="rId1"/>
  <headerFooter alignWithMargins="0">
    <oddHeader>&amp;C&amp;"Arial,Tučné"&amp;16Sběr 2009 - 2010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J2" sqref="J2:J25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2" t="s">
        <v>36</v>
      </c>
      <c r="B1" s="4" t="s">
        <v>261</v>
      </c>
      <c r="C1" s="3" t="s">
        <v>262</v>
      </c>
      <c r="D1" s="143" t="s">
        <v>457</v>
      </c>
      <c r="E1" s="155" t="s">
        <v>460</v>
      </c>
      <c r="F1" s="257" t="s">
        <v>461</v>
      </c>
      <c r="G1" s="261"/>
      <c r="H1" s="257" t="s">
        <v>468</v>
      </c>
      <c r="I1" s="261"/>
      <c r="J1" s="89" t="s">
        <v>304</v>
      </c>
    </row>
    <row r="2" spans="1:10" ht="19.5" customHeight="1">
      <c r="A2" s="125">
        <v>1</v>
      </c>
      <c r="B2" s="126" t="s">
        <v>379</v>
      </c>
      <c r="C2" s="127" t="s">
        <v>8</v>
      </c>
      <c r="D2" s="151">
        <v>20</v>
      </c>
      <c r="E2" s="25">
        <f>30+49+38</f>
        <v>117</v>
      </c>
      <c r="F2" s="154">
        <v>0</v>
      </c>
      <c r="G2" s="98"/>
      <c r="H2" s="151">
        <f>170+92</f>
        <v>262</v>
      </c>
      <c r="I2" s="204"/>
      <c r="J2" s="220">
        <f>SUM(D2:I2)</f>
        <v>399</v>
      </c>
    </row>
    <row r="3" spans="1:10" ht="19.5" customHeight="1">
      <c r="A3" s="82">
        <v>2</v>
      </c>
      <c r="B3" s="128" t="s">
        <v>380</v>
      </c>
      <c r="C3" s="129" t="s">
        <v>49</v>
      </c>
      <c r="D3" s="144">
        <v>70</v>
      </c>
      <c r="E3" s="85">
        <v>96.5</v>
      </c>
      <c r="F3" s="9">
        <f>88.5+79</f>
        <v>167.5</v>
      </c>
      <c r="G3" s="96"/>
      <c r="H3" s="144">
        <v>39.5</v>
      </c>
      <c r="I3" s="226"/>
      <c r="J3" s="90">
        <f aca="true" t="shared" si="0" ref="J3:J25">SUM(D3:I3)</f>
        <v>373.5</v>
      </c>
    </row>
    <row r="4" spans="1:10" ht="19.5" customHeight="1">
      <c r="A4" s="82">
        <v>3</v>
      </c>
      <c r="B4" s="128" t="s">
        <v>38</v>
      </c>
      <c r="C4" s="129" t="s">
        <v>75</v>
      </c>
      <c r="D4" s="141">
        <v>20</v>
      </c>
      <c r="E4" s="25">
        <v>5</v>
      </c>
      <c r="F4" s="10">
        <v>5</v>
      </c>
      <c r="G4" s="97"/>
      <c r="H4" s="141">
        <v>15</v>
      </c>
      <c r="I4" s="205"/>
      <c r="J4" s="90">
        <f t="shared" si="0"/>
        <v>45</v>
      </c>
    </row>
    <row r="5" spans="1:10" ht="19.5" customHeight="1">
      <c r="A5" s="82">
        <v>4</v>
      </c>
      <c r="B5" s="128" t="s">
        <v>381</v>
      </c>
      <c r="C5" s="129" t="s">
        <v>356</v>
      </c>
      <c r="D5" s="141">
        <v>9</v>
      </c>
      <c r="E5" s="25">
        <v>15</v>
      </c>
      <c r="F5" s="10">
        <v>18</v>
      </c>
      <c r="G5" s="97"/>
      <c r="H5" s="141">
        <v>11</v>
      </c>
      <c r="I5" s="205"/>
      <c r="J5" s="90">
        <f t="shared" si="0"/>
        <v>53</v>
      </c>
    </row>
    <row r="6" spans="1:10" ht="19.5" customHeight="1">
      <c r="A6" s="82">
        <v>5</v>
      </c>
      <c r="B6" s="128" t="s">
        <v>382</v>
      </c>
      <c r="C6" s="129" t="s">
        <v>40</v>
      </c>
      <c r="D6" s="141">
        <v>10</v>
      </c>
      <c r="E6" s="25">
        <v>22</v>
      </c>
      <c r="F6" s="10">
        <v>9</v>
      </c>
      <c r="G6" s="97"/>
      <c r="H6" s="141">
        <v>29</v>
      </c>
      <c r="I6" s="205"/>
      <c r="J6" s="90">
        <f t="shared" si="0"/>
        <v>70</v>
      </c>
    </row>
    <row r="7" spans="1:10" ht="19.5" customHeight="1">
      <c r="A7" s="82">
        <v>6</v>
      </c>
      <c r="B7" s="128" t="s">
        <v>188</v>
      </c>
      <c r="C7" s="129" t="s">
        <v>58</v>
      </c>
      <c r="D7" s="141">
        <v>9</v>
      </c>
      <c r="E7" s="25">
        <v>14</v>
      </c>
      <c r="F7" s="10">
        <v>10</v>
      </c>
      <c r="G7" s="97"/>
      <c r="H7" s="141">
        <v>4.5</v>
      </c>
      <c r="I7" s="205"/>
      <c r="J7" s="90">
        <f t="shared" si="0"/>
        <v>37.5</v>
      </c>
    </row>
    <row r="8" spans="1:10" ht="19.5" customHeight="1">
      <c r="A8" s="82">
        <v>7</v>
      </c>
      <c r="B8" s="128" t="s">
        <v>383</v>
      </c>
      <c r="C8" s="129" t="s">
        <v>85</v>
      </c>
      <c r="D8" s="141">
        <v>5</v>
      </c>
      <c r="E8" s="25">
        <v>0</v>
      </c>
      <c r="F8" s="10">
        <v>25</v>
      </c>
      <c r="G8" s="99"/>
      <c r="H8" s="201">
        <v>0</v>
      </c>
      <c r="I8" s="223"/>
      <c r="J8" s="90">
        <f t="shared" si="0"/>
        <v>30</v>
      </c>
    </row>
    <row r="9" spans="1:10" ht="19.5" customHeight="1">
      <c r="A9" s="82">
        <v>8</v>
      </c>
      <c r="B9" s="128" t="s">
        <v>384</v>
      </c>
      <c r="C9" s="129" t="s">
        <v>385</v>
      </c>
      <c r="D9" s="141">
        <v>3.5</v>
      </c>
      <c r="E9" s="25">
        <v>85</v>
      </c>
      <c r="F9" s="10">
        <v>80</v>
      </c>
      <c r="G9" s="97"/>
      <c r="H9" s="141">
        <v>94.5</v>
      </c>
      <c r="I9" s="205"/>
      <c r="J9" s="90">
        <f t="shared" si="0"/>
        <v>263</v>
      </c>
    </row>
    <row r="10" spans="1:10" ht="19.5" customHeight="1">
      <c r="A10" s="82">
        <v>9</v>
      </c>
      <c r="B10" s="128" t="s">
        <v>386</v>
      </c>
      <c r="C10" s="129" t="s">
        <v>185</v>
      </c>
      <c r="D10" s="141">
        <v>0</v>
      </c>
      <c r="E10" s="25">
        <v>0</v>
      </c>
      <c r="F10" s="10">
        <v>0</v>
      </c>
      <c r="G10" s="97"/>
      <c r="H10" s="141">
        <v>0</v>
      </c>
      <c r="I10" s="205"/>
      <c r="J10" s="90">
        <f t="shared" si="0"/>
        <v>0</v>
      </c>
    </row>
    <row r="11" spans="1:10" ht="19.5" customHeight="1">
      <c r="A11" s="82">
        <v>10</v>
      </c>
      <c r="B11" s="128" t="s">
        <v>387</v>
      </c>
      <c r="C11" s="129" t="s">
        <v>4</v>
      </c>
      <c r="D11" s="141">
        <v>0</v>
      </c>
      <c r="E11" s="25">
        <v>0</v>
      </c>
      <c r="F11" s="10">
        <v>0</v>
      </c>
      <c r="G11" s="97"/>
      <c r="H11" s="141">
        <v>0</v>
      </c>
      <c r="I11" s="205"/>
      <c r="J11" s="90">
        <f t="shared" si="0"/>
        <v>0</v>
      </c>
    </row>
    <row r="12" spans="1:10" ht="19.5" customHeight="1">
      <c r="A12" s="82">
        <v>11</v>
      </c>
      <c r="B12" s="128" t="s">
        <v>388</v>
      </c>
      <c r="C12" s="129" t="s">
        <v>389</v>
      </c>
      <c r="D12" s="141">
        <v>0</v>
      </c>
      <c r="E12" s="25">
        <v>0</v>
      </c>
      <c r="F12" s="10">
        <v>0</v>
      </c>
      <c r="G12" s="97"/>
      <c r="H12" s="141">
        <v>0</v>
      </c>
      <c r="I12" s="205"/>
      <c r="J12" s="90">
        <f t="shared" si="0"/>
        <v>0</v>
      </c>
    </row>
    <row r="13" spans="1:10" ht="19.5" customHeight="1">
      <c r="A13" s="82">
        <v>12</v>
      </c>
      <c r="B13" s="128" t="s">
        <v>390</v>
      </c>
      <c r="C13" s="129" t="s">
        <v>2</v>
      </c>
      <c r="D13" s="141">
        <v>0</v>
      </c>
      <c r="E13" s="25">
        <v>0</v>
      </c>
      <c r="F13" s="10">
        <v>0</v>
      </c>
      <c r="G13" s="97"/>
      <c r="H13" s="141">
        <v>0</v>
      </c>
      <c r="I13" s="205"/>
      <c r="J13" s="90">
        <f t="shared" si="0"/>
        <v>0</v>
      </c>
    </row>
    <row r="14" spans="1:10" ht="19.5" customHeight="1">
      <c r="A14" s="82">
        <v>13</v>
      </c>
      <c r="B14" s="128" t="s">
        <v>391</v>
      </c>
      <c r="C14" s="129" t="s">
        <v>30</v>
      </c>
      <c r="D14" s="141">
        <v>40</v>
      </c>
      <c r="E14" s="25">
        <v>28.5</v>
      </c>
      <c r="F14" s="10">
        <v>0</v>
      </c>
      <c r="G14" s="99">
        <f>40</f>
        <v>40</v>
      </c>
      <c r="H14" s="141">
        <v>17.5</v>
      </c>
      <c r="I14" s="223"/>
      <c r="J14" s="90">
        <f t="shared" si="0"/>
        <v>126</v>
      </c>
    </row>
    <row r="15" spans="1:10" ht="19.5" customHeight="1">
      <c r="A15" s="82">
        <v>14</v>
      </c>
      <c r="B15" s="128" t="s">
        <v>392</v>
      </c>
      <c r="C15" s="129" t="s">
        <v>276</v>
      </c>
      <c r="D15" s="141">
        <v>11.5</v>
      </c>
      <c r="E15" s="25">
        <v>10</v>
      </c>
      <c r="F15" s="10">
        <v>16</v>
      </c>
      <c r="G15" s="97"/>
      <c r="H15" s="141">
        <f>4+8.5</f>
        <v>12.5</v>
      </c>
      <c r="I15" s="205"/>
      <c r="J15" s="90">
        <f t="shared" si="0"/>
        <v>50</v>
      </c>
    </row>
    <row r="16" spans="1:10" ht="19.5" customHeight="1">
      <c r="A16" s="82">
        <v>15</v>
      </c>
      <c r="B16" s="128" t="s">
        <v>393</v>
      </c>
      <c r="C16" s="129" t="s">
        <v>8</v>
      </c>
      <c r="D16" s="141">
        <v>0</v>
      </c>
      <c r="E16" s="25">
        <f>6.5+58.5</f>
        <v>65</v>
      </c>
      <c r="F16" s="10">
        <f>25</f>
        <v>25</v>
      </c>
      <c r="G16" s="99">
        <f>240</f>
        <v>240</v>
      </c>
      <c r="H16" s="141">
        <v>0</v>
      </c>
      <c r="I16" s="223">
        <f>220</f>
        <v>220</v>
      </c>
      <c r="J16" s="90">
        <f t="shared" si="0"/>
        <v>550</v>
      </c>
    </row>
    <row r="17" spans="1:10" ht="19.5" customHeight="1">
      <c r="A17" s="82">
        <v>16</v>
      </c>
      <c r="B17" s="128" t="s">
        <v>394</v>
      </c>
      <c r="C17" s="129" t="s">
        <v>8</v>
      </c>
      <c r="D17" s="141">
        <v>0</v>
      </c>
      <c r="E17" s="25">
        <v>12</v>
      </c>
      <c r="F17" s="10">
        <v>16</v>
      </c>
      <c r="G17" s="97"/>
      <c r="H17" s="141">
        <v>33</v>
      </c>
      <c r="I17" s="205"/>
      <c r="J17" s="90">
        <f t="shared" si="0"/>
        <v>61</v>
      </c>
    </row>
    <row r="18" spans="1:10" ht="19.5" customHeight="1">
      <c r="A18" s="82">
        <v>17</v>
      </c>
      <c r="B18" s="128" t="s">
        <v>395</v>
      </c>
      <c r="C18" s="129" t="s">
        <v>52</v>
      </c>
      <c r="D18" s="141">
        <v>0</v>
      </c>
      <c r="E18" s="25">
        <v>0</v>
      </c>
      <c r="F18" s="10">
        <v>0</v>
      </c>
      <c r="G18" s="97"/>
      <c r="H18" s="141">
        <v>0</v>
      </c>
      <c r="I18" s="205"/>
      <c r="J18" s="90">
        <f t="shared" si="0"/>
        <v>0</v>
      </c>
    </row>
    <row r="19" spans="1:10" ht="19.5" customHeight="1">
      <c r="A19" s="82">
        <v>18</v>
      </c>
      <c r="B19" s="128" t="s">
        <v>396</v>
      </c>
      <c r="C19" s="129" t="s">
        <v>101</v>
      </c>
      <c r="D19" s="141">
        <v>7</v>
      </c>
      <c r="E19" s="25">
        <v>12</v>
      </c>
      <c r="F19" s="10">
        <v>16.5</v>
      </c>
      <c r="G19" s="97"/>
      <c r="H19" s="141">
        <v>15.5</v>
      </c>
      <c r="I19" s="205"/>
      <c r="J19" s="90">
        <f t="shared" si="0"/>
        <v>51</v>
      </c>
    </row>
    <row r="20" spans="1:10" ht="19.5" customHeight="1">
      <c r="A20" s="82">
        <v>19</v>
      </c>
      <c r="B20" s="128" t="s">
        <v>397</v>
      </c>
      <c r="C20" s="129" t="s">
        <v>63</v>
      </c>
      <c r="D20" s="141">
        <v>360</v>
      </c>
      <c r="E20" s="25">
        <f>540</f>
        <v>540</v>
      </c>
      <c r="F20" s="10">
        <v>0</v>
      </c>
      <c r="G20" s="99">
        <f>200+390</f>
        <v>590</v>
      </c>
      <c r="H20" s="141">
        <v>0</v>
      </c>
      <c r="I20" s="223">
        <f>200</f>
        <v>200</v>
      </c>
      <c r="J20" s="90">
        <f t="shared" si="0"/>
        <v>1690</v>
      </c>
    </row>
    <row r="21" spans="1:10" ht="19.5" customHeight="1">
      <c r="A21" s="82">
        <v>20</v>
      </c>
      <c r="B21" s="128" t="s">
        <v>398</v>
      </c>
      <c r="C21" s="129" t="s">
        <v>141</v>
      </c>
      <c r="D21" s="141">
        <v>8</v>
      </c>
      <c r="E21" s="25">
        <v>7</v>
      </c>
      <c r="F21" s="10">
        <v>0</v>
      </c>
      <c r="G21" s="97"/>
      <c r="H21" s="141">
        <v>0</v>
      </c>
      <c r="I21" s="205"/>
      <c r="J21" s="90">
        <f t="shared" si="0"/>
        <v>15</v>
      </c>
    </row>
    <row r="22" spans="1:10" ht="19.5" customHeight="1">
      <c r="A22" s="82">
        <v>21</v>
      </c>
      <c r="B22" s="128" t="s">
        <v>399</v>
      </c>
      <c r="C22" s="129" t="s">
        <v>56</v>
      </c>
      <c r="D22" s="141">
        <v>0</v>
      </c>
      <c r="E22" s="25">
        <v>9</v>
      </c>
      <c r="F22" s="10">
        <v>17</v>
      </c>
      <c r="G22" s="97"/>
      <c r="H22" s="141">
        <v>0</v>
      </c>
      <c r="I22" s="205"/>
      <c r="J22" s="90">
        <f t="shared" si="0"/>
        <v>26</v>
      </c>
    </row>
    <row r="23" spans="1:10" ht="19.5" customHeight="1">
      <c r="A23" s="82">
        <v>22</v>
      </c>
      <c r="B23" s="128" t="s">
        <v>400</v>
      </c>
      <c r="C23" s="129" t="s">
        <v>51</v>
      </c>
      <c r="D23" s="141">
        <v>2</v>
      </c>
      <c r="E23" s="25">
        <v>0</v>
      </c>
      <c r="F23" s="185">
        <v>18</v>
      </c>
      <c r="G23" s="99"/>
      <c r="H23" s="141">
        <v>0</v>
      </c>
      <c r="I23" s="223"/>
      <c r="J23" s="90">
        <f t="shared" si="0"/>
        <v>20</v>
      </c>
    </row>
    <row r="24" spans="1:10" ht="19.5" customHeight="1">
      <c r="A24" s="82">
        <v>23</v>
      </c>
      <c r="B24" s="130" t="s">
        <v>401</v>
      </c>
      <c r="C24" s="131" t="s">
        <v>58</v>
      </c>
      <c r="D24" s="141">
        <v>6</v>
      </c>
      <c r="E24" s="25">
        <v>27</v>
      </c>
      <c r="F24" s="10">
        <v>30</v>
      </c>
      <c r="G24" s="97"/>
      <c r="H24" s="141">
        <v>35.5</v>
      </c>
      <c r="I24" s="205"/>
      <c r="J24" s="90">
        <f t="shared" si="0"/>
        <v>98.5</v>
      </c>
    </row>
    <row r="25" spans="1:10" ht="19.5" customHeight="1" thickBot="1">
      <c r="A25" s="83">
        <v>24</v>
      </c>
      <c r="B25" s="132" t="s">
        <v>402</v>
      </c>
      <c r="C25" s="133" t="s">
        <v>70</v>
      </c>
      <c r="D25" s="142">
        <v>10</v>
      </c>
      <c r="E25" s="26">
        <v>11</v>
      </c>
      <c r="F25" s="12">
        <v>16</v>
      </c>
      <c r="G25" s="101"/>
      <c r="H25" s="142">
        <v>5.5</v>
      </c>
      <c r="I25" s="225"/>
      <c r="J25" s="221">
        <f t="shared" si="0"/>
        <v>42.5</v>
      </c>
    </row>
    <row r="26" spans="2:10" ht="15.75">
      <c r="B26" s="68" t="s">
        <v>347</v>
      </c>
      <c r="C26" s="64"/>
      <c r="D26" s="65"/>
      <c r="E26" s="65"/>
      <c r="F26" s="65"/>
      <c r="G26" s="65"/>
      <c r="H26" s="65"/>
      <c r="I26" s="65"/>
      <c r="J26" s="65">
        <f>SUM(D26:I26)</f>
        <v>0</v>
      </c>
    </row>
    <row r="27" spans="2:10" ht="16.5" thickBot="1">
      <c r="B27" s="68"/>
      <c r="C27" s="64"/>
      <c r="D27" s="65"/>
      <c r="E27" s="65"/>
      <c r="F27" s="189" t="s">
        <v>466</v>
      </c>
      <c r="G27" s="189" t="s">
        <v>467</v>
      </c>
      <c r="H27" s="189" t="s">
        <v>466</v>
      </c>
      <c r="I27" s="189" t="s">
        <v>467</v>
      </c>
      <c r="J27" s="64"/>
    </row>
    <row r="28" spans="1:11" s="23" customFormat="1" ht="16.5" thickBot="1">
      <c r="A28" s="22"/>
      <c r="B28" s="78" t="s">
        <v>263</v>
      </c>
      <c r="D28" s="193">
        <f>SUM(D2:D27)</f>
        <v>591</v>
      </c>
      <c r="E28" s="196">
        <f>SUM(E2:E26)</f>
        <v>1076</v>
      </c>
      <c r="F28" s="259">
        <f>SUM(F2:G26)</f>
        <v>1339</v>
      </c>
      <c r="G28" s="260"/>
      <c r="H28" s="259">
        <f>SUM(H2:I26)</f>
        <v>995</v>
      </c>
      <c r="I28" s="260"/>
      <c r="J28" s="77">
        <f>SUM(J2:J27)</f>
        <v>4001</v>
      </c>
      <c r="K28" s="176"/>
    </row>
  </sheetData>
  <mergeCells count="4">
    <mergeCell ref="F1:G1"/>
    <mergeCell ref="F28:G28"/>
    <mergeCell ref="H1:I1"/>
    <mergeCell ref="H28:I28"/>
  </mergeCells>
  <printOptions/>
  <pageMargins left="0.75" right="0.75" top="1" bottom="1" header="0.4921259845" footer="0.4921259845"/>
  <pageSetup fitToHeight="1" fitToWidth="1" horizontalDpi="300" verticalDpi="300" orientation="landscape" paperSize="9" scale="84" r:id="rId1"/>
  <headerFooter alignWithMargins="0">
    <oddHeader>&amp;C&amp;"Arial,Tučné"&amp;14Sběr  2009 - 2010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5"/>
  <sheetViews>
    <sheetView workbookViewId="0" topLeftCell="A1">
      <selection activeCell="J2" sqref="J2:J22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2" t="s">
        <v>68</v>
      </c>
      <c r="B1" s="4" t="s">
        <v>261</v>
      </c>
      <c r="C1" s="3" t="s">
        <v>262</v>
      </c>
      <c r="D1" s="143" t="s">
        <v>457</v>
      </c>
      <c r="E1" s="156" t="s">
        <v>460</v>
      </c>
      <c r="F1" s="257" t="s">
        <v>461</v>
      </c>
      <c r="G1" s="261"/>
      <c r="H1" s="257" t="s">
        <v>468</v>
      </c>
      <c r="I1" s="261"/>
      <c r="J1" s="89" t="s">
        <v>304</v>
      </c>
    </row>
    <row r="2" spans="1:10" ht="19.5" customHeight="1">
      <c r="A2" s="125">
        <v>1</v>
      </c>
      <c r="B2" s="28" t="s">
        <v>349</v>
      </c>
      <c r="C2" s="29" t="s">
        <v>4</v>
      </c>
      <c r="D2" s="152">
        <v>0</v>
      </c>
      <c r="E2" s="25">
        <v>0</v>
      </c>
      <c r="F2" s="154">
        <v>0</v>
      </c>
      <c r="G2" s="98"/>
      <c r="H2" s="151">
        <v>0</v>
      </c>
      <c r="I2" s="204"/>
      <c r="J2" s="220">
        <f>SUM(D2:I2)</f>
        <v>0</v>
      </c>
    </row>
    <row r="3" spans="1:10" ht="19.5" customHeight="1">
      <c r="A3" s="134">
        <v>2</v>
      </c>
      <c r="B3" s="135" t="s">
        <v>307</v>
      </c>
      <c r="C3" s="84" t="s">
        <v>23</v>
      </c>
      <c r="D3" s="85">
        <v>0</v>
      </c>
      <c r="E3" s="85">
        <v>0</v>
      </c>
      <c r="F3" s="9">
        <v>0</v>
      </c>
      <c r="G3" s="96"/>
      <c r="H3" s="144">
        <v>0</v>
      </c>
      <c r="I3" s="226"/>
      <c r="J3" s="90">
        <f aca="true" t="shared" si="0" ref="J3:J22">SUM(D3:I3)</f>
        <v>0</v>
      </c>
    </row>
    <row r="4" spans="1:10" ht="19.5" customHeight="1">
      <c r="A4" s="82">
        <v>3</v>
      </c>
      <c r="B4" s="30" t="s">
        <v>308</v>
      </c>
      <c r="C4" s="31" t="s">
        <v>22</v>
      </c>
      <c r="D4" s="25">
        <v>75</v>
      </c>
      <c r="E4" s="25">
        <v>6</v>
      </c>
      <c r="F4" s="10">
        <v>7</v>
      </c>
      <c r="G4" s="97"/>
      <c r="H4" s="141">
        <v>28.5</v>
      </c>
      <c r="I4" s="205"/>
      <c r="J4" s="90">
        <f t="shared" si="0"/>
        <v>116.5</v>
      </c>
    </row>
    <row r="5" spans="1:10" ht="19.5" customHeight="1">
      <c r="A5" s="134">
        <v>4</v>
      </c>
      <c r="B5" s="30" t="s">
        <v>309</v>
      </c>
      <c r="C5" s="31" t="s">
        <v>296</v>
      </c>
      <c r="D5" s="25">
        <v>0</v>
      </c>
      <c r="E5" s="25">
        <v>34</v>
      </c>
      <c r="F5" s="10">
        <v>0</v>
      </c>
      <c r="G5" s="97"/>
      <c r="H5" s="141">
        <v>33.5</v>
      </c>
      <c r="I5" s="205"/>
      <c r="J5" s="90">
        <f t="shared" si="0"/>
        <v>67.5</v>
      </c>
    </row>
    <row r="6" spans="1:10" ht="19.5" customHeight="1">
      <c r="A6" s="82">
        <v>5</v>
      </c>
      <c r="B6" s="30" t="s">
        <v>310</v>
      </c>
      <c r="C6" s="31" t="s">
        <v>311</v>
      </c>
      <c r="D6" s="25">
        <v>16</v>
      </c>
      <c r="E6" s="25">
        <v>22</v>
      </c>
      <c r="F6" s="10">
        <v>17</v>
      </c>
      <c r="G6" s="97"/>
      <c r="H6" s="141">
        <v>27</v>
      </c>
      <c r="I6" s="205"/>
      <c r="J6" s="90">
        <f t="shared" si="0"/>
        <v>82</v>
      </c>
    </row>
    <row r="7" spans="1:10" ht="19.5" customHeight="1">
      <c r="A7" s="134">
        <v>6</v>
      </c>
      <c r="B7" s="30" t="s">
        <v>403</v>
      </c>
      <c r="C7" s="31" t="s">
        <v>124</v>
      </c>
      <c r="D7" s="25">
        <v>0</v>
      </c>
      <c r="E7" s="25">
        <v>0</v>
      </c>
      <c r="F7" s="10">
        <v>0</v>
      </c>
      <c r="G7" s="97"/>
      <c r="H7" s="141">
        <v>0</v>
      </c>
      <c r="I7" s="205"/>
      <c r="J7" s="90">
        <f t="shared" si="0"/>
        <v>0</v>
      </c>
    </row>
    <row r="8" spans="1:10" ht="19.5" customHeight="1">
      <c r="A8" s="82">
        <v>7</v>
      </c>
      <c r="B8" s="30" t="s">
        <v>312</v>
      </c>
      <c r="C8" s="31" t="s">
        <v>313</v>
      </c>
      <c r="D8" s="25">
        <v>0</v>
      </c>
      <c r="E8" s="25">
        <v>0</v>
      </c>
      <c r="F8" s="10">
        <v>0</v>
      </c>
      <c r="G8" s="99"/>
      <c r="H8" s="141">
        <v>0</v>
      </c>
      <c r="I8" s="223"/>
      <c r="J8" s="90">
        <f t="shared" si="0"/>
        <v>0</v>
      </c>
    </row>
    <row r="9" spans="1:10" ht="19.5" customHeight="1">
      <c r="A9" s="134">
        <v>8</v>
      </c>
      <c r="B9" s="30" t="s">
        <v>314</v>
      </c>
      <c r="C9" s="31" t="s">
        <v>63</v>
      </c>
      <c r="D9" s="25">
        <v>14</v>
      </c>
      <c r="E9" s="25">
        <v>7</v>
      </c>
      <c r="F9" s="10">
        <v>13</v>
      </c>
      <c r="G9" s="97"/>
      <c r="H9" s="141">
        <v>0</v>
      </c>
      <c r="I9" s="205"/>
      <c r="J9" s="90">
        <f t="shared" si="0"/>
        <v>34</v>
      </c>
    </row>
    <row r="10" spans="1:10" ht="19.5" customHeight="1">
      <c r="A10" s="82">
        <v>9</v>
      </c>
      <c r="B10" s="30" t="s">
        <v>216</v>
      </c>
      <c r="C10" s="31" t="s">
        <v>58</v>
      </c>
      <c r="D10" s="25">
        <v>10</v>
      </c>
      <c r="E10" s="25">
        <v>11</v>
      </c>
      <c r="F10" s="10">
        <v>22</v>
      </c>
      <c r="G10" s="97"/>
      <c r="H10" s="141">
        <v>41</v>
      </c>
      <c r="I10" s="205"/>
      <c r="J10" s="90">
        <f t="shared" si="0"/>
        <v>84</v>
      </c>
    </row>
    <row r="11" spans="1:10" ht="19.5" customHeight="1">
      <c r="A11" s="134"/>
      <c r="B11" s="30" t="s">
        <v>315</v>
      </c>
      <c r="C11" s="31" t="s">
        <v>77</v>
      </c>
      <c r="D11" s="25" t="s">
        <v>404</v>
      </c>
      <c r="E11" s="25" t="s">
        <v>405</v>
      </c>
      <c r="F11" s="10" t="s">
        <v>405</v>
      </c>
      <c r="G11" s="97" t="s">
        <v>405</v>
      </c>
      <c r="H11" s="141" t="s">
        <v>405</v>
      </c>
      <c r="I11" s="205" t="s">
        <v>405</v>
      </c>
      <c r="J11" s="90">
        <f t="shared" si="0"/>
        <v>0</v>
      </c>
    </row>
    <row r="12" spans="1:10" ht="19.5" customHeight="1">
      <c r="A12" s="82">
        <v>10</v>
      </c>
      <c r="B12" s="30" t="s">
        <v>221</v>
      </c>
      <c r="C12" s="31" t="s">
        <v>121</v>
      </c>
      <c r="D12" s="25">
        <v>15</v>
      </c>
      <c r="E12" s="25">
        <v>27</v>
      </c>
      <c r="F12" s="10">
        <v>15</v>
      </c>
      <c r="G12" s="97"/>
      <c r="H12" s="141">
        <v>11</v>
      </c>
      <c r="I12" s="205"/>
      <c r="J12" s="90">
        <f t="shared" si="0"/>
        <v>68</v>
      </c>
    </row>
    <row r="13" spans="1:10" ht="19.5" customHeight="1">
      <c r="A13" s="134">
        <v>11</v>
      </c>
      <c r="B13" s="30" t="s">
        <v>316</v>
      </c>
      <c r="C13" s="31" t="s">
        <v>317</v>
      </c>
      <c r="D13" s="25">
        <v>0</v>
      </c>
      <c r="E13" s="25">
        <v>30</v>
      </c>
      <c r="F13" s="10">
        <v>0</v>
      </c>
      <c r="G13" s="99"/>
      <c r="H13" s="141">
        <v>5.5</v>
      </c>
      <c r="I13" s="223">
        <f>320+180+200</f>
        <v>700</v>
      </c>
      <c r="J13" s="90">
        <f t="shared" si="0"/>
        <v>735.5</v>
      </c>
    </row>
    <row r="14" spans="1:10" ht="19.5" customHeight="1">
      <c r="A14" s="82">
        <v>12</v>
      </c>
      <c r="B14" s="30" t="s">
        <v>76</v>
      </c>
      <c r="C14" s="31" t="s">
        <v>49</v>
      </c>
      <c r="D14" s="25">
        <v>37</v>
      </c>
      <c r="E14" s="25">
        <v>58.5</v>
      </c>
      <c r="F14" s="10">
        <v>76</v>
      </c>
      <c r="G14" s="97"/>
      <c r="H14" s="141">
        <v>108</v>
      </c>
      <c r="I14" s="205"/>
      <c r="J14" s="90">
        <f t="shared" si="0"/>
        <v>279.5</v>
      </c>
    </row>
    <row r="15" spans="1:10" ht="19.5" customHeight="1">
      <c r="A15" s="134">
        <v>13</v>
      </c>
      <c r="B15" s="30" t="s">
        <v>318</v>
      </c>
      <c r="C15" s="31" t="s">
        <v>319</v>
      </c>
      <c r="D15" s="25">
        <v>75</v>
      </c>
      <c r="E15" s="25">
        <v>18</v>
      </c>
      <c r="F15" s="10">
        <v>61.5</v>
      </c>
      <c r="G15" s="97"/>
      <c r="H15" s="141">
        <v>10</v>
      </c>
      <c r="I15" s="205"/>
      <c r="J15" s="90">
        <f t="shared" si="0"/>
        <v>164.5</v>
      </c>
    </row>
    <row r="16" spans="1:10" ht="19.5" customHeight="1">
      <c r="A16" s="82">
        <v>14</v>
      </c>
      <c r="B16" s="30" t="s">
        <v>320</v>
      </c>
      <c r="C16" s="31" t="s">
        <v>6</v>
      </c>
      <c r="D16" s="25">
        <v>0</v>
      </c>
      <c r="E16" s="25">
        <v>0</v>
      </c>
      <c r="F16" s="10">
        <v>0</v>
      </c>
      <c r="G16" s="97"/>
      <c r="H16" s="141">
        <f>25.5+9+9</f>
        <v>43.5</v>
      </c>
      <c r="I16" s="205"/>
      <c r="J16" s="90">
        <f t="shared" si="0"/>
        <v>43.5</v>
      </c>
    </row>
    <row r="17" spans="1:10" ht="19.5" customHeight="1">
      <c r="A17" s="134">
        <v>15</v>
      </c>
      <c r="B17" s="30" t="s">
        <v>231</v>
      </c>
      <c r="C17" s="31" t="s">
        <v>23</v>
      </c>
      <c r="D17" s="25">
        <v>0</v>
      </c>
      <c r="E17" s="25">
        <v>0</v>
      </c>
      <c r="F17" s="10">
        <v>0</v>
      </c>
      <c r="G17" s="97"/>
      <c r="H17" s="141">
        <v>2</v>
      </c>
      <c r="I17" s="205"/>
      <c r="J17" s="90">
        <f t="shared" si="0"/>
        <v>2</v>
      </c>
    </row>
    <row r="18" spans="1:10" ht="19.5" customHeight="1">
      <c r="A18" s="82">
        <v>16</v>
      </c>
      <c r="B18" s="30" t="s">
        <v>321</v>
      </c>
      <c r="C18" s="31" t="s">
        <v>99</v>
      </c>
      <c r="D18" s="25">
        <v>0</v>
      </c>
      <c r="E18" s="25">
        <v>0</v>
      </c>
      <c r="F18" s="10">
        <v>0</v>
      </c>
      <c r="G18" s="97"/>
      <c r="H18" s="141">
        <v>0</v>
      </c>
      <c r="I18" s="205"/>
      <c r="J18" s="90">
        <f t="shared" si="0"/>
        <v>0</v>
      </c>
    </row>
    <row r="19" spans="1:10" ht="19.5" customHeight="1">
      <c r="A19" s="134">
        <v>17</v>
      </c>
      <c r="B19" s="30" t="s">
        <v>322</v>
      </c>
      <c r="C19" s="31" t="s">
        <v>47</v>
      </c>
      <c r="D19" s="25">
        <v>0</v>
      </c>
      <c r="E19" s="25">
        <v>9</v>
      </c>
      <c r="F19" s="10">
        <v>17</v>
      </c>
      <c r="G19" s="97"/>
      <c r="H19" s="141">
        <v>0</v>
      </c>
      <c r="I19" s="205"/>
      <c r="J19" s="90">
        <f t="shared" si="0"/>
        <v>26</v>
      </c>
    </row>
    <row r="20" spans="1:10" ht="19.5" customHeight="1">
      <c r="A20" s="82">
        <v>18</v>
      </c>
      <c r="B20" s="30" t="s">
        <v>323</v>
      </c>
      <c r="C20" s="31" t="s">
        <v>12</v>
      </c>
      <c r="D20" s="25">
        <v>280</v>
      </c>
      <c r="E20" s="25">
        <f>260+80+60+180</f>
        <v>580</v>
      </c>
      <c r="F20" s="10">
        <v>0</v>
      </c>
      <c r="G20" s="200">
        <f>300+60+140+220+100+60+340+320</f>
        <v>1540</v>
      </c>
      <c r="H20" s="141">
        <v>50</v>
      </c>
      <c r="I20" s="223">
        <f>560</f>
        <v>560</v>
      </c>
      <c r="J20" s="90">
        <f t="shared" si="0"/>
        <v>3010</v>
      </c>
    </row>
    <row r="21" spans="1:10" ht="19.5" customHeight="1">
      <c r="A21" s="134">
        <v>19</v>
      </c>
      <c r="B21" s="30" t="s">
        <v>324</v>
      </c>
      <c r="C21" s="31" t="s">
        <v>16</v>
      </c>
      <c r="D21" s="25">
        <v>0</v>
      </c>
      <c r="E21" s="25">
        <v>8</v>
      </c>
      <c r="F21" s="10">
        <v>13</v>
      </c>
      <c r="G21" s="97"/>
      <c r="H21" s="141">
        <v>36</v>
      </c>
      <c r="I21" s="205"/>
      <c r="J21" s="90">
        <f t="shared" si="0"/>
        <v>57</v>
      </c>
    </row>
    <row r="22" spans="1:10" ht="19.5" customHeight="1" thickBot="1">
      <c r="A22" s="83">
        <v>20</v>
      </c>
      <c r="B22" s="32" t="s">
        <v>325</v>
      </c>
      <c r="C22" s="33" t="s">
        <v>47</v>
      </c>
      <c r="D22" s="26">
        <v>4</v>
      </c>
      <c r="E22" s="26">
        <v>9</v>
      </c>
      <c r="F22" s="12">
        <v>16</v>
      </c>
      <c r="G22" s="101"/>
      <c r="H22" s="142">
        <v>3.5</v>
      </c>
      <c r="I22" s="225"/>
      <c r="J22" s="221">
        <f t="shared" si="0"/>
        <v>32.5</v>
      </c>
    </row>
    <row r="23" spans="2:10" ht="15.75">
      <c r="B23" s="68" t="s">
        <v>347</v>
      </c>
      <c r="C23" s="64"/>
      <c r="D23" s="65"/>
      <c r="E23" s="65"/>
      <c r="F23" s="65"/>
      <c r="G23" s="65"/>
      <c r="H23" s="65"/>
      <c r="I23" s="65"/>
      <c r="J23" s="65">
        <f>SUM(D23:I23)</f>
        <v>0</v>
      </c>
    </row>
    <row r="24" spans="2:10" ht="16.5" thickBot="1">
      <c r="B24" s="68"/>
      <c r="C24" s="64"/>
      <c r="D24" s="65"/>
      <c r="E24" s="65"/>
      <c r="F24" s="189" t="s">
        <v>466</v>
      </c>
      <c r="G24" s="189" t="s">
        <v>467</v>
      </c>
      <c r="H24" s="189" t="s">
        <v>466</v>
      </c>
      <c r="I24" s="189" t="s">
        <v>467</v>
      </c>
      <c r="J24" s="64"/>
    </row>
    <row r="25" spans="1:11" s="23" customFormat="1" ht="16.5" thickBot="1">
      <c r="A25" s="22"/>
      <c r="B25" s="78" t="s">
        <v>263</v>
      </c>
      <c r="D25" s="193">
        <f>SUM(D2:D23)</f>
        <v>526</v>
      </c>
      <c r="E25" s="196">
        <f>SUM(E2:E23)</f>
        <v>819.5</v>
      </c>
      <c r="F25" s="259">
        <f>SUM(F2:G23)</f>
        <v>1797.5</v>
      </c>
      <c r="G25" s="260"/>
      <c r="H25" s="259">
        <f>SUM(H2:I23)</f>
        <v>1659.5</v>
      </c>
      <c r="I25" s="260"/>
      <c r="J25" s="77">
        <f>SUM(J2:J24)</f>
        <v>4802.5</v>
      </c>
      <c r="K25" s="176"/>
    </row>
  </sheetData>
  <mergeCells count="4">
    <mergeCell ref="F1:G1"/>
    <mergeCell ref="F25:G25"/>
    <mergeCell ref="H1:I1"/>
    <mergeCell ref="H25:I25"/>
  </mergeCells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&amp;C&amp;"Arial,Tučné"&amp;14Sběr 2009 - 2010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3"/>
  <sheetViews>
    <sheetView workbookViewId="0" topLeftCell="A1">
      <selection activeCell="J2" sqref="J2:J20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0" t="s">
        <v>80</v>
      </c>
      <c r="B1" s="4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58"/>
      <c r="H1" s="257" t="s">
        <v>468</v>
      </c>
      <c r="I1" s="261"/>
      <c r="J1" s="60" t="s">
        <v>304</v>
      </c>
    </row>
    <row r="2" spans="1:10" ht="19.5" customHeight="1">
      <c r="A2" s="5">
        <v>1</v>
      </c>
      <c r="B2" s="177" t="s">
        <v>406</v>
      </c>
      <c r="C2" s="29" t="s">
        <v>70</v>
      </c>
      <c r="D2" s="157">
        <v>0</v>
      </c>
      <c r="E2" s="152">
        <v>7</v>
      </c>
      <c r="F2" s="154">
        <v>6</v>
      </c>
      <c r="G2" s="98"/>
      <c r="H2" s="151">
        <v>8</v>
      </c>
      <c r="I2" s="204"/>
      <c r="J2" s="91">
        <f>SUM(D2:I2)</f>
        <v>21</v>
      </c>
    </row>
    <row r="3" spans="1:13" ht="19.5" customHeight="1">
      <c r="A3" s="6">
        <v>2</v>
      </c>
      <c r="B3" s="178" t="s">
        <v>37</v>
      </c>
      <c r="C3" s="31" t="s">
        <v>92</v>
      </c>
      <c r="D3" s="149">
        <v>170</v>
      </c>
      <c r="E3" s="25">
        <f>169</f>
        <v>169</v>
      </c>
      <c r="F3" s="10">
        <v>0</v>
      </c>
      <c r="G3" s="99">
        <f>80+249</f>
        <v>329</v>
      </c>
      <c r="H3" s="141">
        <v>0</v>
      </c>
      <c r="I3" s="223">
        <f>210</f>
        <v>210</v>
      </c>
      <c r="J3" s="92">
        <f aca="true" t="shared" si="0" ref="J3:J20">SUM(D3:I3)</f>
        <v>878</v>
      </c>
      <c r="M3" s="17"/>
    </row>
    <row r="4" spans="1:10" ht="19.5" customHeight="1">
      <c r="A4" s="6">
        <v>3</v>
      </c>
      <c r="B4" s="178" t="s">
        <v>327</v>
      </c>
      <c r="C4" s="31" t="s">
        <v>8</v>
      </c>
      <c r="D4" s="149">
        <v>13</v>
      </c>
      <c r="E4" s="25">
        <v>0</v>
      </c>
      <c r="F4" s="10">
        <v>31</v>
      </c>
      <c r="G4" s="97"/>
      <c r="H4" s="141">
        <v>18</v>
      </c>
      <c r="I4" s="205"/>
      <c r="J4" s="92">
        <f t="shared" si="0"/>
        <v>62</v>
      </c>
    </row>
    <row r="5" spans="1:10" ht="19.5" customHeight="1">
      <c r="A5" s="6">
        <v>4</v>
      </c>
      <c r="B5" s="178" t="s">
        <v>328</v>
      </c>
      <c r="C5" s="31" t="s">
        <v>174</v>
      </c>
      <c r="D5" s="149">
        <v>8</v>
      </c>
      <c r="E5" s="25">
        <v>16.5</v>
      </c>
      <c r="F5" s="10">
        <v>12</v>
      </c>
      <c r="G5" s="97"/>
      <c r="H5" s="141">
        <v>76</v>
      </c>
      <c r="I5" s="205"/>
      <c r="J5" s="92">
        <f t="shared" si="0"/>
        <v>112.5</v>
      </c>
    </row>
    <row r="6" spans="1:10" ht="19.5" customHeight="1">
      <c r="A6" s="6">
        <v>5</v>
      </c>
      <c r="B6" s="178" t="s">
        <v>97</v>
      </c>
      <c r="C6" s="31" t="s">
        <v>49</v>
      </c>
      <c r="D6" s="149">
        <v>140</v>
      </c>
      <c r="E6" s="25">
        <f>520</f>
        <v>520</v>
      </c>
      <c r="F6" s="10">
        <v>0</v>
      </c>
      <c r="G6" s="99">
        <f>150+121</f>
        <v>271</v>
      </c>
      <c r="H6" s="141">
        <v>1.5</v>
      </c>
      <c r="I6" s="223">
        <f>50</f>
        <v>50</v>
      </c>
      <c r="J6" s="92">
        <f t="shared" si="0"/>
        <v>982.5</v>
      </c>
    </row>
    <row r="7" spans="1:10" ht="19.5" customHeight="1">
      <c r="A7" s="6">
        <v>6</v>
      </c>
      <c r="B7" s="178" t="s">
        <v>407</v>
      </c>
      <c r="C7" s="31" t="s">
        <v>408</v>
      </c>
      <c r="D7" s="149">
        <v>0</v>
      </c>
      <c r="E7" s="25">
        <v>19.5</v>
      </c>
      <c r="F7" s="10">
        <v>14</v>
      </c>
      <c r="G7" s="97"/>
      <c r="H7" s="141">
        <v>19</v>
      </c>
      <c r="I7" s="205"/>
      <c r="J7" s="92">
        <f t="shared" si="0"/>
        <v>52.5</v>
      </c>
    </row>
    <row r="8" spans="1:10" ht="19.5" customHeight="1">
      <c r="A8" s="6">
        <v>7</v>
      </c>
      <c r="B8" s="178" t="s">
        <v>462</v>
      </c>
      <c r="C8" s="31" t="s">
        <v>70</v>
      </c>
      <c r="D8" s="149" t="s">
        <v>405</v>
      </c>
      <c r="E8" s="25" t="s">
        <v>405</v>
      </c>
      <c r="F8" s="10">
        <v>33</v>
      </c>
      <c r="G8" s="97"/>
      <c r="H8" s="141">
        <v>7</v>
      </c>
      <c r="I8" s="205"/>
      <c r="J8" s="92">
        <f t="shared" si="0"/>
        <v>40</v>
      </c>
    </row>
    <row r="9" spans="1:10" ht="19.5" customHeight="1">
      <c r="A9" s="6">
        <v>8</v>
      </c>
      <c r="B9" s="178" t="s">
        <v>329</v>
      </c>
      <c r="C9" s="31" t="s">
        <v>87</v>
      </c>
      <c r="D9" s="149">
        <v>0</v>
      </c>
      <c r="E9" s="25">
        <v>0</v>
      </c>
      <c r="F9" s="10">
        <v>5</v>
      </c>
      <c r="G9" s="97"/>
      <c r="H9" s="141">
        <v>10</v>
      </c>
      <c r="I9" s="205"/>
      <c r="J9" s="92">
        <f t="shared" si="0"/>
        <v>15</v>
      </c>
    </row>
    <row r="10" spans="1:10" ht="19.5" customHeight="1">
      <c r="A10" s="6">
        <v>9</v>
      </c>
      <c r="B10" s="178" t="s">
        <v>330</v>
      </c>
      <c r="C10" s="31" t="s">
        <v>73</v>
      </c>
      <c r="D10" s="149">
        <v>2</v>
      </c>
      <c r="E10" s="25">
        <v>7.5</v>
      </c>
      <c r="F10" s="10">
        <v>5</v>
      </c>
      <c r="G10" s="97"/>
      <c r="H10" s="141">
        <v>23.5</v>
      </c>
      <c r="I10" s="205"/>
      <c r="J10" s="92">
        <f t="shared" si="0"/>
        <v>38</v>
      </c>
    </row>
    <row r="11" spans="1:10" ht="19.5" customHeight="1">
      <c r="A11" s="6">
        <v>10</v>
      </c>
      <c r="B11" s="178" t="s">
        <v>331</v>
      </c>
      <c r="C11" s="31" t="s">
        <v>185</v>
      </c>
      <c r="D11" s="149">
        <v>7.5</v>
      </c>
      <c r="E11" s="25">
        <v>20</v>
      </c>
      <c r="F11" s="10">
        <v>28</v>
      </c>
      <c r="G11" s="97"/>
      <c r="H11" s="141">
        <v>41.5</v>
      </c>
      <c r="I11" s="205"/>
      <c r="J11" s="92">
        <f t="shared" si="0"/>
        <v>97</v>
      </c>
    </row>
    <row r="12" spans="1:10" ht="19.5" customHeight="1">
      <c r="A12" s="6">
        <v>11</v>
      </c>
      <c r="B12" s="178" t="s">
        <v>332</v>
      </c>
      <c r="C12" s="31" t="s">
        <v>8</v>
      </c>
      <c r="D12" s="149">
        <v>51</v>
      </c>
      <c r="E12" s="25">
        <v>63</v>
      </c>
      <c r="F12" s="10">
        <f>51+20.5</f>
        <v>71.5</v>
      </c>
      <c r="G12" s="99">
        <f>220</f>
        <v>220</v>
      </c>
      <c r="H12" s="141">
        <v>0</v>
      </c>
      <c r="I12" s="223">
        <f>60+30+80</f>
        <v>170</v>
      </c>
      <c r="J12" s="92">
        <f t="shared" si="0"/>
        <v>575.5</v>
      </c>
    </row>
    <row r="13" spans="1:10" ht="19.5" customHeight="1">
      <c r="A13" s="6"/>
      <c r="B13" s="178" t="s">
        <v>76</v>
      </c>
      <c r="C13" s="31" t="s">
        <v>40</v>
      </c>
      <c r="D13" s="149">
        <v>14</v>
      </c>
      <c r="E13" s="25" t="s">
        <v>405</v>
      </c>
      <c r="F13" s="10" t="s">
        <v>405</v>
      </c>
      <c r="G13" s="97" t="s">
        <v>405</v>
      </c>
      <c r="H13" s="141">
        <v>0</v>
      </c>
      <c r="I13" s="205"/>
      <c r="J13" s="92">
        <f t="shared" si="0"/>
        <v>14</v>
      </c>
    </row>
    <row r="14" spans="1:10" ht="19.5" customHeight="1">
      <c r="A14" s="6">
        <v>12</v>
      </c>
      <c r="B14" s="178" t="s">
        <v>333</v>
      </c>
      <c r="C14" s="31" t="s">
        <v>4</v>
      </c>
      <c r="D14" s="149">
        <v>0</v>
      </c>
      <c r="E14" s="25">
        <v>0</v>
      </c>
      <c r="F14" s="10">
        <v>5</v>
      </c>
      <c r="G14" s="97"/>
      <c r="H14" s="141">
        <v>5</v>
      </c>
      <c r="I14" s="205"/>
      <c r="J14" s="92">
        <f t="shared" si="0"/>
        <v>10</v>
      </c>
    </row>
    <row r="15" spans="1:10" ht="19.5" customHeight="1">
      <c r="A15" s="6">
        <v>13</v>
      </c>
      <c r="B15" s="178" t="s">
        <v>334</v>
      </c>
      <c r="C15" s="31" t="s">
        <v>228</v>
      </c>
      <c r="D15" s="149">
        <v>80</v>
      </c>
      <c r="E15" s="25">
        <f>60+80+60+200+69</f>
        <v>469</v>
      </c>
      <c r="F15" s="10">
        <f>33</f>
        <v>33</v>
      </c>
      <c r="G15" s="99">
        <f>140</f>
        <v>140</v>
      </c>
      <c r="H15" s="141">
        <v>85</v>
      </c>
      <c r="I15" s="223">
        <f>220+380</f>
        <v>600</v>
      </c>
      <c r="J15" s="92">
        <f t="shared" si="0"/>
        <v>1407</v>
      </c>
    </row>
    <row r="16" spans="1:10" ht="19.5" customHeight="1">
      <c r="A16" s="6">
        <v>14</v>
      </c>
      <c r="B16" s="178" t="s">
        <v>335</v>
      </c>
      <c r="C16" s="31" t="s">
        <v>70</v>
      </c>
      <c r="D16" s="149">
        <v>51</v>
      </c>
      <c r="E16" s="25">
        <v>64.5</v>
      </c>
      <c r="F16" s="10">
        <v>48</v>
      </c>
      <c r="G16" s="97"/>
      <c r="H16" s="141">
        <v>21</v>
      </c>
      <c r="I16" s="205"/>
      <c r="J16" s="92">
        <f t="shared" si="0"/>
        <v>184.5</v>
      </c>
    </row>
    <row r="17" spans="1:10" ht="19.5" customHeight="1">
      <c r="A17" s="6">
        <v>15</v>
      </c>
      <c r="B17" s="178" t="s">
        <v>336</v>
      </c>
      <c r="C17" s="31" t="s">
        <v>34</v>
      </c>
      <c r="D17" s="149">
        <f>11+12</f>
        <v>23</v>
      </c>
      <c r="E17" s="25">
        <v>7</v>
      </c>
      <c r="F17" s="10">
        <v>14</v>
      </c>
      <c r="G17" s="97"/>
      <c r="H17" s="141">
        <f>12+14.5</f>
        <v>26.5</v>
      </c>
      <c r="I17" s="205"/>
      <c r="J17" s="92">
        <f t="shared" si="0"/>
        <v>70.5</v>
      </c>
    </row>
    <row r="18" spans="1:10" ht="19.5" customHeight="1">
      <c r="A18" s="6">
        <v>16</v>
      </c>
      <c r="B18" s="178" t="s">
        <v>337</v>
      </c>
      <c r="C18" s="31" t="s">
        <v>78</v>
      </c>
      <c r="D18" s="149">
        <v>0</v>
      </c>
      <c r="E18" s="25">
        <v>8</v>
      </c>
      <c r="F18" s="10">
        <f>10+11</f>
        <v>21</v>
      </c>
      <c r="G18" s="97"/>
      <c r="H18" s="141">
        <v>12</v>
      </c>
      <c r="I18" s="205"/>
      <c r="J18" s="92">
        <f t="shared" si="0"/>
        <v>41</v>
      </c>
    </row>
    <row r="19" spans="1:10" ht="19.5" customHeight="1">
      <c r="A19" s="6">
        <v>17</v>
      </c>
      <c r="B19" s="178" t="s">
        <v>338</v>
      </c>
      <c r="C19" s="31" t="s">
        <v>20</v>
      </c>
      <c r="D19" s="149">
        <v>290</v>
      </c>
      <c r="E19" s="25">
        <v>235</v>
      </c>
      <c r="F19" s="10">
        <v>210</v>
      </c>
      <c r="G19" s="97"/>
      <c r="H19" s="141">
        <v>150</v>
      </c>
      <c r="I19" s="205"/>
      <c r="J19" s="92">
        <f t="shared" si="0"/>
        <v>885</v>
      </c>
    </row>
    <row r="20" spans="1:10" ht="19.5" customHeight="1" thickBot="1">
      <c r="A20" s="7">
        <v>18</v>
      </c>
      <c r="B20" s="179" t="s">
        <v>339</v>
      </c>
      <c r="C20" s="33" t="s">
        <v>60</v>
      </c>
      <c r="D20" s="158">
        <v>1600</v>
      </c>
      <c r="E20" s="26">
        <f>1270+7</f>
        <v>1277</v>
      </c>
      <c r="F20" s="12">
        <v>0</v>
      </c>
      <c r="G20" s="100">
        <f>140+80+100+220+240+180+80+200+140+100+100+140+120+880</f>
        <v>2720</v>
      </c>
      <c r="H20" s="142">
        <v>35</v>
      </c>
      <c r="I20" s="227">
        <f>80+140+80+360+60+160+100+240+1620+60+60+80</f>
        <v>3040</v>
      </c>
      <c r="J20" s="93">
        <f t="shared" si="0"/>
        <v>8672</v>
      </c>
    </row>
    <row r="21" spans="2:10" ht="15.75">
      <c r="B21" s="68" t="s">
        <v>347</v>
      </c>
      <c r="C21" s="64"/>
      <c r="D21" s="65"/>
      <c r="E21" s="65"/>
      <c r="F21" s="65"/>
      <c r="G21" s="69"/>
      <c r="H21" s="69"/>
      <c r="I21" s="69"/>
      <c r="J21" s="65">
        <f>SUM(D21:I21)</f>
        <v>0</v>
      </c>
    </row>
    <row r="22" spans="2:10" ht="16.5" thickBot="1">
      <c r="B22" s="68"/>
      <c r="C22" s="64"/>
      <c r="D22" s="65"/>
      <c r="E22" s="65"/>
      <c r="F22" s="189" t="s">
        <v>466</v>
      </c>
      <c r="G22" s="189" t="s">
        <v>467</v>
      </c>
      <c r="H22" s="189"/>
      <c r="I22" s="189"/>
      <c r="J22" s="64"/>
    </row>
    <row r="23" spans="1:11" s="23" customFormat="1" ht="16.5" thickBot="1">
      <c r="A23" s="22"/>
      <c r="B23" s="78" t="s">
        <v>263</v>
      </c>
      <c r="D23" s="193">
        <f>SUM(D2:D22)</f>
        <v>2449.5</v>
      </c>
      <c r="E23" s="197">
        <f>SUM(E2:E21)</f>
        <v>2883</v>
      </c>
      <c r="F23" s="259">
        <f>SUM(F2:G21)</f>
        <v>4216.5</v>
      </c>
      <c r="G23" s="260"/>
      <c r="H23" s="259">
        <f>SUM(H2:I21)</f>
        <v>4609</v>
      </c>
      <c r="I23" s="260"/>
      <c r="J23" s="77">
        <f>SUM(J2:J22)</f>
        <v>14158</v>
      </c>
      <c r="K23" s="176"/>
    </row>
  </sheetData>
  <mergeCells count="4">
    <mergeCell ref="F1:G1"/>
    <mergeCell ref="F23:G23"/>
    <mergeCell ref="H1:I1"/>
    <mergeCell ref="H23:I23"/>
  </mergeCells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2009 - 2010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J2" sqref="J2:J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9" width="12.7109375" style="1" customWidth="1"/>
    <col min="10" max="10" width="15.7109375" style="0" customWidth="1"/>
  </cols>
  <sheetData>
    <row r="1" spans="1:10" ht="24.75" customHeight="1" thickBot="1">
      <c r="A1" s="251" t="s">
        <v>89</v>
      </c>
      <c r="B1" s="8" t="s">
        <v>261</v>
      </c>
      <c r="C1" s="3" t="s">
        <v>262</v>
      </c>
      <c r="D1" s="143" t="s">
        <v>457</v>
      </c>
      <c r="E1" s="162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40">
        <v>1</v>
      </c>
      <c r="B2" s="34" t="s">
        <v>258</v>
      </c>
      <c r="C2" s="35" t="s">
        <v>65</v>
      </c>
      <c r="D2" s="160">
        <v>13</v>
      </c>
      <c r="E2" s="163">
        <f>15+36</f>
        <v>51</v>
      </c>
      <c r="F2" s="87">
        <v>22</v>
      </c>
      <c r="G2" s="111"/>
      <c r="H2" s="206">
        <f>35+8+19</f>
        <v>62</v>
      </c>
      <c r="I2" s="228"/>
      <c r="J2" s="61">
        <f>SUM(D2:I2)</f>
        <v>148</v>
      </c>
    </row>
    <row r="3" spans="1:10" ht="19.5" customHeight="1">
      <c r="A3" s="41">
        <v>2</v>
      </c>
      <c r="B3" s="36" t="s">
        <v>340</v>
      </c>
      <c r="C3" s="37" t="s">
        <v>63</v>
      </c>
      <c r="D3" s="149">
        <v>30</v>
      </c>
      <c r="E3" s="164">
        <v>20</v>
      </c>
      <c r="F3" s="86">
        <v>0</v>
      </c>
      <c r="G3" s="112">
        <f>80</f>
        <v>80</v>
      </c>
      <c r="H3" s="207">
        <v>35</v>
      </c>
      <c r="I3" s="229"/>
      <c r="J3" s="62">
        <f aca="true" t="shared" si="0" ref="J3:J23">SUM(D3:I3)</f>
        <v>165</v>
      </c>
    </row>
    <row r="4" spans="1:10" ht="19.5" customHeight="1">
      <c r="A4" s="41">
        <v>3</v>
      </c>
      <c r="B4" s="36" t="s">
        <v>265</v>
      </c>
      <c r="C4" s="37" t="s">
        <v>141</v>
      </c>
      <c r="D4" s="149">
        <v>0</v>
      </c>
      <c r="E4" s="164">
        <f>38+38+51</f>
        <v>127</v>
      </c>
      <c r="F4" s="86">
        <f>91+160</f>
        <v>251</v>
      </c>
      <c r="G4" s="110"/>
      <c r="H4" s="207">
        <v>203</v>
      </c>
      <c r="I4" s="224"/>
      <c r="J4" s="62">
        <f t="shared" si="0"/>
        <v>581</v>
      </c>
    </row>
    <row r="5" spans="1:10" ht="19.5" customHeight="1">
      <c r="A5" s="41">
        <v>4</v>
      </c>
      <c r="B5" s="36" t="s">
        <v>37</v>
      </c>
      <c r="C5" s="37" t="s">
        <v>326</v>
      </c>
      <c r="D5" s="149">
        <v>45</v>
      </c>
      <c r="E5" s="164">
        <v>0</v>
      </c>
      <c r="F5" s="86">
        <f>61+22+48</f>
        <v>131</v>
      </c>
      <c r="G5" s="110"/>
      <c r="H5" s="207">
        <v>61</v>
      </c>
      <c r="I5" s="224"/>
      <c r="J5" s="62">
        <f t="shared" si="0"/>
        <v>237</v>
      </c>
    </row>
    <row r="6" spans="1:10" ht="19.5" customHeight="1">
      <c r="A6" s="41">
        <v>5</v>
      </c>
      <c r="B6" s="36" t="s">
        <v>266</v>
      </c>
      <c r="C6" s="37" t="s">
        <v>14</v>
      </c>
      <c r="D6" s="149">
        <v>15</v>
      </c>
      <c r="E6" s="164">
        <v>79</v>
      </c>
      <c r="F6" s="86">
        <v>17.5</v>
      </c>
      <c r="G6" s="110"/>
      <c r="H6" s="207">
        <v>12</v>
      </c>
      <c r="I6" s="224"/>
      <c r="J6" s="62">
        <f t="shared" si="0"/>
        <v>123.5</v>
      </c>
    </row>
    <row r="7" spans="1:10" ht="19.5" customHeight="1">
      <c r="A7" s="41">
        <v>6</v>
      </c>
      <c r="B7" s="36" t="s">
        <v>267</v>
      </c>
      <c r="C7" s="37" t="s">
        <v>32</v>
      </c>
      <c r="D7" s="149">
        <v>23</v>
      </c>
      <c r="E7" s="164">
        <f>80+13.5</f>
        <v>93.5</v>
      </c>
      <c r="F7" s="86">
        <v>46</v>
      </c>
      <c r="G7" s="112"/>
      <c r="H7" s="207">
        <v>16</v>
      </c>
      <c r="I7" s="229"/>
      <c r="J7" s="62">
        <f t="shared" si="0"/>
        <v>178.5</v>
      </c>
    </row>
    <row r="8" spans="1:10" ht="19.5" customHeight="1">
      <c r="A8" s="41">
        <v>7</v>
      </c>
      <c r="B8" s="36" t="s">
        <v>268</v>
      </c>
      <c r="C8" s="37" t="s">
        <v>269</v>
      </c>
      <c r="D8" s="149">
        <v>56</v>
      </c>
      <c r="E8" s="164">
        <v>93</v>
      </c>
      <c r="F8" s="86">
        <v>64</v>
      </c>
      <c r="G8" s="110"/>
      <c r="H8" s="207">
        <f>31.5+5</f>
        <v>36.5</v>
      </c>
      <c r="I8" s="229">
        <f>60+120</f>
        <v>180</v>
      </c>
      <c r="J8" s="62">
        <f t="shared" si="0"/>
        <v>429.5</v>
      </c>
    </row>
    <row r="9" spans="1:10" ht="19.5" customHeight="1">
      <c r="A9" s="41">
        <v>8</v>
      </c>
      <c r="B9" s="36" t="s">
        <v>270</v>
      </c>
      <c r="C9" s="37" t="s">
        <v>54</v>
      </c>
      <c r="D9" s="149">
        <v>24</v>
      </c>
      <c r="E9" s="164">
        <f>15.5+10</f>
        <v>25.5</v>
      </c>
      <c r="F9" s="86">
        <f>10.5+7</f>
        <v>17.5</v>
      </c>
      <c r="G9" s="110"/>
      <c r="H9" s="207">
        <v>17</v>
      </c>
      <c r="I9" s="224"/>
      <c r="J9" s="62">
        <f t="shared" si="0"/>
        <v>84</v>
      </c>
    </row>
    <row r="10" spans="1:10" ht="19.5" customHeight="1">
      <c r="A10" s="41">
        <v>9</v>
      </c>
      <c r="B10" s="36" t="s">
        <v>271</v>
      </c>
      <c r="C10" s="37" t="s">
        <v>56</v>
      </c>
      <c r="D10" s="149">
        <f>8+220+160+120+160+120</f>
        <v>788</v>
      </c>
      <c r="E10" s="164">
        <f>180+140+80+100+120+60</f>
        <v>680</v>
      </c>
      <c r="F10" s="86">
        <v>65</v>
      </c>
      <c r="G10" s="203">
        <f>140+100+260+60+380+180+240+280+340</f>
        <v>1980</v>
      </c>
      <c r="H10" s="207">
        <v>0</v>
      </c>
      <c r="I10" s="229">
        <f>460+140+120+120</f>
        <v>840</v>
      </c>
      <c r="J10" s="62">
        <f t="shared" si="0"/>
        <v>4353</v>
      </c>
    </row>
    <row r="11" spans="1:10" ht="19.5" customHeight="1">
      <c r="A11" s="41">
        <v>10</v>
      </c>
      <c r="B11" s="36" t="s">
        <v>48</v>
      </c>
      <c r="C11" s="37" t="s">
        <v>30</v>
      </c>
      <c r="D11" s="149">
        <v>0</v>
      </c>
      <c r="E11" s="164">
        <f>230</f>
        <v>230</v>
      </c>
      <c r="F11" s="86">
        <v>12</v>
      </c>
      <c r="G11" s="112">
        <f>120+100+260+60+360</f>
        <v>900</v>
      </c>
      <c r="H11" s="207">
        <v>26</v>
      </c>
      <c r="I11" s="229">
        <f>260+120+180+160+40+500+380</f>
        <v>1640</v>
      </c>
      <c r="J11" s="62">
        <f t="shared" si="0"/>
        <v>2808</v>
      </c>
    </row>
    <row r="12" spans="1:10" ht="19.5" customHeight="1">
      <c r="A12" s="41">
        <v>11</v>
      </c>
      <c r="B12" s="36" t="s">
        <v>341</v>
      </c>
      <c r="C12" s="37" t="s">
        <v>65</v>
      </c>
      <c r="D12" s="149">
        <v>258</v>
      </c>
      <c r="E12" s="164">
        <v>150</v>
      </c>
      <c r="F12" s="86">
        <v>0</v>
      </c>
      <c r="G12" s="112">
        <f>70+50</f>
        <v>120</v>
      </c>
      <c r="H12" s="207">
        <v>0</v>
      </c>
      <c r="I12" s="229">
        <f>90</f>
        <v>90</v>
      </c>
      <c r="J12" s="62">
        <f t="shared" si="0"/>
        <v>618</v>
      </c>
    </row>
    <row r="13" spans="1:10" ht="19.5" customHeight="1">
      <c r="A13" s="6">
        <v>12</v>
      </c>
      <c r="B13" s="36" t="s">
        <v>100</v>
      </c>
      <c r="C13" s="37" t="s">
        <v>16</v>
      </c>
      <c r="D13" s="149">
        <v>30</v>
      </c>
      <c r="E13" s="164">
        <v>42</v>
      </c>
      <c r="F13" s="186">
        <v>69</v>
      </c>
      <c r="G13" s="112"/>
      <c r="H13" s="207">
        <f>80+22</f>
        <v>102</v>
      </c>
      <c r="I13" s="229"/>
      <c r="J13" s="62">
        <f t="shared" si="0"/>
        <v>243</v>
      </c>
    </row>
    <row r="14" spans="1:10" ht="19.5" customHeight="1">
      <c r="A14" s="6">
        <v>13</v>
      </c>
      <c r="B14" s="36" t="s">
        <v>273</v>
      </c>
      <c r="C14" s="37" t="s">
        <v>69</v>
      </c>
      <c r="D14" s="149">
        <v>8</v>
      </c>
      <c r="E14" s="164">
        <v>25</v>
      </c>
      <c r="F14" s="86">
        <v>10</v>
      </c>
      <c r="G14" s="110"/>
      <c r="H14" s="207">
        <v>71</v>
      </c>
      <c r="I14" s="224"/>
      <c r="J14" s="62">
        <f t="shared" si="0"/>
        <v>114</v>
      </c>
    </row>
    <row r="15" spans="1:10" ht="19.5" customHeight="1">
      <c r="A15" s="6">
        <v>14</v>
      </c>
      <c r="B15" s="36" t="s">
        <v>463</v>
      </c>
      <c r="C15" s="37" t="s">
        <v>16</v>
      </c>
      <c r="D15" s="149" t="s">
        <v>405</v>
      </c>
      <c r="E15" s="164" t="s">
        <v>405</v>
      </c>
      <c r="F15" s="86">
        <v>0</v>
      </c>
      <c r="G15" s="110"/>
      <c r="H15" s="244">
        <v>26</v>
      </c>
      <c r="I15" s="224"/>
      <c r="J15" s="62">
        <f t="shared" si="0"/>
        <v>26</v>
      </c>
    </row>
    <row r="16" spans="1:10" ht="19.5" customHeight="1">
      <c r="A16" s="6">
        <v>15</v>
      </c>
      <c r="B16" s="36" t="s">
        <v>152</v>
      </c>
      <c r="C16" s="37" t="s">
        <v>10</v>
      </c>
      <c r="D16" s="149">
        <v>8</v>
      </c>
      <c r="E16" s="164">
        <v>12</v>
      </c>
      <c r="F16" s="86">
        <v>17</v>
      </c>
      <c r="G16" s="110"/>
      <c r="H16" s="207">
        <v>15.5</v>
      </c>
      <c r="I16" s="224"/>
      <c r="J16" s="62">
        <f t="shared" si="0"/>
        <v>52.5</v>
      </c>
    </row>
    <row r="17" spans="1:10" ht="19.5" customHeight="1">
      <c r="A17" s="6">
        <v>16</v>
      </c>
      <c r="B17" s="36" t="s">
        <v>76</v>
      </c>
      <c r="C17" s="37" t="s">
        <v>30</v>
      </c>
      <c r="D17" s="149">
        <v>45</v>
      </c>
      <c r="E17" s="164">
        <v>58.5</v>
      </c>
      <c r="F17" s="86">
        <v>76</v>
      </c>
      <c r="G17" s="110"/>
      <c r="H17" s="207">
        <f>108+5</f>
        <v>113</v>
      </c>
      <c r="I17" s="224"/>
      <c r="J17" s="62">
        <f t="shared" si="0"/>
        <v>292.5</v>
      </c>
    </row>
    <row r="18" spans="1:10" ht="19.5" customHeight="1">
      <c r="A18" s="6">
        <v>17</v>
      </c>
      <c r="B18" s="36" t="s">
        <v>274</v>
      </c>
      <c r="C18" s="37" t="s">
        <v>40</v>
      </c>
      <c r="D18" s="149">
        <v>10</v>
      </c>
      <c r="E18" s="164">
        <v>13</v>
      </c>
      <c r="F18" s="86">
        <v>14</v>
      </c>
      <c r="G18" s="110"/>
      <c r="H18" s="207">
        <v>40</v>
      </c>
      <c r="I18" s="224"/>
      <c r="J18" s="62">
        <f t="shared" si="0"/>
        <v>77</v>
      </c>
    </row>
    <row r="19" spans="1:10" ht="19.5" customHeight="1">
      <c r="A19" s="6">
        <v>18</v>
      </c>
      <c r="B19" s="36" t="s">
        <v>303</v>
      </c>
      <c r="C19" s="37" t="s">
        <v>58</v>
      </c>
      <c r="D19" s="149">
        <v>4</v>
      </c>
      <c r="E19" s="164">
        <v>0</v>
      </c>
      <c r="F19" s="86">
        <v>55</v>
      </c>
      <c r="G19" s="110"/>
      <c r="H19" s="207">
        <v>0</v>
      </c>
      <c r="I19" s="224"/>
      <c r="J19" s="62">
        <f t="shared" si="0"/>
        <v>59</v>
      </c>
    </row>
    <row r="20" spans="1:10" ht="19.5" customHeight="1">
      <c r="A20" s="6">
        <v>19</v>
      </c>
      <c r="B20" s="36" t="s">
        <v>275</v>
      </c>
      <c r="C20" s="37" t="s">
        <v>276</v>
      </c>
      <c r="D20" s="149">
        <f>260+60</f>
        <v>320</v>
      </c>
      <c r="E20" s="164">
        <f>120+52</f>
        <v>172</v>
      </c>
      <c r="F20" s="86">
        <f>6+162</f>
        <v>168</v>
      </c>
      <c r="G20" s="112">
        <f>120+200</f>
        <v>320</v>
      </c>
      <c r="H20" s="207">
        <f>61+5</f>
        <v>66</v>
      </c>
      <c r="I20" s="229">
        <f>200</f>
        <v>200</v>
      </c>
      <c r="J20" s="62">
        <f t="shared" si="0"/>
        <v>1246</v>
      </c>
    </row>
    <row r="21" spans="1:10" ht="19.5" customHeight="1">
      <c r="A21" s="6">
        <v>20</v>
      </c>
      <c r="B21" s="36" t="s">
        <v>277</v>
      </c>
      <c r="C21" s="37" t="s">
        <v>77</v>
      </c>
      <c r="D21" s="149">
        <v>47</v>
      </c>
      <c r="E21" s="164">
        <v>35</v>
      </c>
      <c r="F21" s="86">
        <f>78+7</f>
        <v>85</v>
      </c>
      <c r="G21" s="110"/>
      <c r="H21" s="207">
        <f>57+4</f>
        <v>61</v>
      </c>
      <c r="I21" s="224"/>
      <c r="J21" s="62">
        <f t="shared" si="0"/>
        <v>228</v>
      </c>
    </row>
    <row r="22" spans="1:10" ht="19.5" customHeight="1">
      <c r="A22" s="6">
        <v>21</v>
      </c>
      <c r="B22" s="36" t="s">
        <v>278</v>
      </c>
      <c r="C22" s="37" t="s">
        <v>56</v>
      </c>
      <c r="D22" s="149">
        <v>16</v>
      </c>
      <c r="E22" s="164">
        <f>10+15</f>
        <v>25</v>
      </c>
      <c r="F22" s="86">
        <f>7+12</f>
        <v>19</v>
      </c>
      <c r="G22" s="110"/>
      <c r="H22" s="207">
        <f>17+5</f>
        <v>22</v>
      </c>
      <c r="I22" s="224"/>
      <c r="J22" s="62">
        <f t="shared" si="0"/>
        <v>82</v>
      </c>
    </row>
    <row r="23" spans="1:10" ht="19.5" customHeight="1" thickBot="1">
      <c r="A23" s="7">
        <v>22</v>
      </c>
      <c r="B23" s="38" t="s">
        <v>279</v>
      </c>
      <c r="C23" s="39" t="s">
        <v>280</v>
      </c>
      <c r="D23" s="161">
        <v>0</v>
      </c>
      <c r="E23" s="165">
        <v>76</v>
      </c>
      <c r="F23" s="113">
        <v>0</v>
      </c>
      <c r="G23" s="114"/>
      <c r="H23" s="246">
        <v>0</v>
      </c>
      <c r="I23" s="230"/>
      <c r="J23" s="63">
        <f t="shared" si="0"/>
        <v>76</v>
      </c>
    </row>
    <row r="24" spans="1:10" ht="15.75">
      <c r="A24" s="18"/>
      <c r="B24" s="68" t="s">
        <v>347</v>
      </c>
      <c r="C24" s="70"/>
      <c r="D24" s="65">
        <v>4</v>
      </c>
      <c r="E24" s="65">
        <f>6+4+29+38+2+15</f>
        <v>94</v>
      </c>
      <c r="F24" s="88">
        <f>6.5+30+14</f>
        <v>50.5</v>
      </c>
      <c r="G24" s="69"/>
      <c r="H24" s="69"/>
      <c r="I24" s="65">
        <v>49</v>
      </c>
      <c r="J24" s="75">
        <f>SUM(D24:I24)</f>
        <v>197.5</v>
      </c>
    </row>
    <row r="25" spans="1:10" ht="16.5" thickBot="1">
      <c r="A25" s="18"/>
      <c r="B25" s="68"/>
      <c r="C25" s="70"/>
      <c r="D25" s="71"/>
      <c r="E25" s="69"/>
      <c r="F25" s="189" t="s">
        <v>466</v>
      </c>
      <c r="G25" s="189" t="s">
        <v>467</v>
      </c>
      <c r="H25" s="189"/>
      <c r="I25" s="189"/>
      <c r="J25" s="76"/>
    </row>
    <row r="26" spans="1:11" s="23" customFormat="1" ht="16.5" thickBot="1">
      <c r="A26" s="22"/>
      <c r="B26" s="78" t="s">
        <v>263</v>
      </c>
      <c r="D26" s="193">
        <f>SUM(D2:D25)</f>
        <v>1744</v>
      </c>
      <c r="E26" s="196">
        <f>SUM(E2:E25)</f>
        <v>2101.5</v>
      </c>
      <c r="F26" s="262">
        <f>SUM(F2:G24)</f>
        <v>4589.5</v>
      </c>
      <c r="G26" s="260"/>
      <c r="H26" s="259">
        <f>SUM(H2:I24)</f>
        <v>3984</v>
      </c>
      <c r="I26" s="260"/>
      <c r="J26" s="77">
        <f>SUM(J2:J25)</f>
        <v>12419</v>
      </c>
      <c r="K26" s="176"/>
    </row>
    <row r="27" ht="12.75">
      <c r="J27" s="17"/>
    </row>
    <row r="28" spans="4:6" ht="12.75">
      <c r="D28" s="13"/>
      <c r="F28" s="13"/>
    </row>
  </sheetData>
  <mergeCells count="4">
    <mergeCell ref="F1:G1"/>
    <mergeCell ref="F26:G26"/>
    <mergeCell ref="H1:I1"/>
    <mergeCell ref="H26:I26"/>
  </mergeCells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2009 - 2010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J2" sqref="J2:J22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1" t="s">
        <v>264</v>
      </c>
      <c r="B1" s="8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40">
        <v>1</v>
      </c>
      <c r="B2" s="34" t="s">
        <v>281</v>
      </c>
      <c r="C2" s="35" t="s">
        <v>81</v>
      </c>
      <c r="D2" s="150">
        <v>11</v>
      </c>
      <c r="E2" s="85">
        <v>69</v>
      </c>
      <c r="F2" s="9">
        <f>100</f>
        <v>100</v>
      </c>
      <c r="G2" s="96"/>
      <c r="H2" s="151">
        <v>43</v>
      </c>
      <c r="I2" s="204"/>
      <c r="J2" s="61">
        <f>SUM(D2:I2)</f>
        <v>223</v>
      </c>
    </row>
    <row r="3" spans="1:10" ht="19.5" customHeight="1">
      <c r="A3" s="41">
        <v>2</v>
      </c>
      <c r="B3" s="36" t="s">
        <v>186</v>
      </c>
      <c r="C3" s="37" t="s">
        <v>40</v>
      </c>
      <c r="D3" s="146">
        <v>14</v>
      </c>
      <c r="E3" s="25">
        <v>17</v>
      </c>
      <c r="F3" s="10">
        <v>28</v>
      </c>
      <c r="G3" s="97"/>
      <c r="H3" s="141">
        <v>11.5</v>
      </c>
      <c r="I3" s="205"/>
      <c r="J3" s="62">
        <f aca="true" t="shared" si="0" ref="J3:J22">SUM(D3:I3)</f>
        <v>70.5</v>
      </c>
    </row>
    <row r="4" spans="1:10" ht="19.5" customHeight="1">
      <c r="A4" s="41">
        <v>3</v>
      </c>
      <c r="B4" s="36" t="s">
        <v>282</v>
      </c>
      <c r="C4" s="37" t="s">
        <v>23</v>
      </c>
      <c r="D4" s="146">
        <v>0</v>
      </c>
      <c r="E4" s="25">
        <v>4.5</v>
      </c>
      <c r="F4" s="10">
        <v>0</v>
      </c>
      <c r="G4" s="97"/>
      <c r="H4" s="141">
        <v>0</v>
      </c>
      <c r="I4" s="205"/>
      <c r="J4" s="62">
        <f t="shared" si="0"/>
        <v>4.5</v>
      </c>
    </row>
    <row r="5" spans="1:10" ht="19.5" customHeight="1">
      <c r="A5" s="41">
        <v>4</v>
      </c>
      <c r="B5" s="36" t="s">
        <v>283</v>
      </c>
      <c r="C5" s="37" t="s">
        <v>47</v>
      </c>
      <c r="D5" s="146">
        <v>0</v>
      </c>
      <c r="E5" s="25">
        <v>14</v>
      </c>
      <c r="F5" s="10">
        <v>15</v>
      </c>
      <c r="G5" s="97"/>
      <c r="H5" s="141">
        <v>5</v>
      </c>
      <c r="I5" s="205"/>
      <c r="J5" s="62">
        <f t="shared" si="0"/>
        <v>34</v>
      </c>
    </row>
    <row r="6" spans="1:10" ht="19.5" customHeight="1">
      <c r="A6" s="41">
        <v>5</v>
      </c>
      <c r="B6" s="36" t="s">
        <v>284</v>
      </c>
      <c r="C6" s="37" t="s">
        <v>12</v>
      </c>
      <c r="D6" s="146">
        <v>9</v>
      </c>
      <c r="E6" s="25">
        <v>3</v>
      </c>
      <c r="F6" s="10">
        <v>11</v>
      </c>
      <c r="G6" s="97"/>
      <c r="H6" s="141">
        <v>4.5</v>
      </c>
      <c r="I6" s="205"/>
      <c r="J6" s="62">
        <f t="shared" si="0"/>
        <v>27.5</v>
      </c>
    </row>
    <row r="7" spans="1:10" ht="19.5" customHeight="1">
      <c r="A7" s="6">
        <v>6</v>
      </c>
      <c r="B7" s="36" t="s">
        <v>285</v>
      </c>
      <c r="C7" s="37" t="s">
        <v>77</v>
      </c>
      <c r="D7" s="146">
        <v>1</v>
      </c>
      <c r="E7" s="25">
        <v>3</v>
      </c>
      <c r="F7" s="10">
        <v>1</v>
      </c>
      <c r="G7" s="97"/>
      <c r="H7" s="141">
        <v>1.5</v>
      </c>
      <c r="I7" s="205"/>
      <c r="J7" s="62">
        <f t="shared" si="0"/>
        <v>6.5</v>
      </c>
    </row>
    <row r="8" spans="1:10" ht="19.5" customHeight="1">
      <c r="A8" s="6">
        <v>7</v>
      </c>
      <c r="B8" s="36" t="s">
        <v>292</v>
      </c>
      <c r="C8" s="37" t="s">
        <v>47</v>
      </c>
      <c r="D8" s="146">
        <v>18</v>
      </c>
      <c r="E8" s="25">
        <v>22</v>
      </c>
      <c r="F8" s="10">
        <f>26+21+58</f>
        <v>105</v>
      </c>
      <c r="G8" s="97"/>
      <c r="H8" s="141">
        <v>57</v>
      </c>
      <c r="I8" s="205"/>
      <c r="J8" s="62">
        <f t="shared" si="0"/>
        <v>202</v>
      </c>
    </row>
    <row r="9" spans="1:10" ht="19.5" customHeight="1">
      <c r="A9" s="6"/>
      <c r="B9" s="36" t="s">
        <v>458</v>
      </c>
      <c r="C9" s="37" t="s">
        <v>4</v>
      </c>
      <c r="D9" s="146">
        <v>10</v>
      </c>
      <c r="E9" s="25">
        <v>155</v>
      </c>
      <c r="F9" s="10" t="s">
        <v>405</v>
      </c>
      <c r="G9" s="99">
        <f>120</f>
        <v>120</v>
      </c>
      <c r="H9" s="141">
        <v>0</v>
      </c>
      <c r="I9" s="223"/>
      <c r="J9" s="62">
        <f t="shared" si="0"/>
        <v>285</v>
      </c>
    </row>
    <row r="10" spans="1:10" ht="19.5" customHeight="1">
      <c r="A10" s="6">
        <v>8</v>
      </c>
      <c r="B10" s="36" t="s">
        <v>95</v>
      </c>
      <c r="C10" s="37" t="s">
        <v>69</v>
      </c>
      <c r="D10" s="146">
        <v>0</v>
      </c>
      <c r="E10" s="25">
        <v>160</v>
      </c>
      <c r="F10" s="10">
        <v>0</v>
      </c>
      <c r="G10" s="99">
        <f>60</f>
        <v>60</v>
      </c>
      <c r="H10" s="141">
        <v>0</v>
      </c>
      <c r="I10" s="223">
        <f>70</f>
        <v>70</v>
      </c>
      <c r="J10" s="62">
        <f t="shared" si="0"/>
        <v>290</v>
      </c>
    </row>
    <row r="11" spans="1:10" ht="19.5" customHeight="1">
      <c r="A11" s="6">
        <v>9</v>
      </c>
      <c r="B11" s="36" t="s">
        <v>342</v>
      </c>
      <c r="C11" s="37" t="s">
        <v>30</v>
      </c>
      <c r="D11" s="146">
        <v>0</v>
      </c>
      <c r="E11" s="25">
        <v>0</v>
      </c>
      <c r="F11" s="10">
        <v>0</v>
      </c>
      <c r="G11" s="97"/>
      <c r="H11" s="141">
        <v>0</v>
      </c>
      <c r="I11" s="205"/>
      <c r="J11" s="62">
        <f t="shared" si="0"/>
        <v>0</v>
      </c>
    </row>
    <row r="12" spans="1:10" ht="19.5" customHeight="1">
      <c r="A12" s="6">
        <v>10</v>
      </c>
      <c r="B12" s="36" t="s">
        <v>286</v>
      </c>
      <c r="C12" s="37" t="s">
        <v>47</v>
      </c>
      <c r="D12" s="146">
        <f>371+92</f>
        <v>463</v>
      </c>
      <c r="E12" s="25">
        <f>90+106+132+311</f>
        <v>639</v>
      </c>
      <c r="F12" s="10">
        <f>72+28+78+49</f>
        <v>227</v>
      </c>
      <c r="G12" s="97"/>
      <c r="H12" s="141">
        <f>72+47</f>
        <v>119</v>
      </c>
      <c r="I12" s="205"/>
      <c r="J12" s="62">
        <f t="shared" si="0"/>
        <v>1448</v>
      </c>
    </row>
    <row r="13" spans="1:10" ht="19.5" customHeight="1">
      <c r="A13" s="6">
        <v>11</v>
      </c>
      <c r="B13" s="36" t="s">
        <v>287</v>
      </c>
      <c r="C13" s="37" t="s">
        <v>23</v>
      </c>
      <c r="D13" s="146">
        <v>68</v>
      </c>
      <c r="E13" s="25">
        <f>42.5+64.5</f>
        <v>107</v>
      </c>
      <c r="F13" s="10">
        <v>36</v>
      </c>
      <c r="G13" s="97"/>
      <c r="H13" s="141">
        <v>18.5</v>
      </c>
      <c r="I13" s="223">
        <f>80</f>
        <v>80</v>
      </c>
      <c r="J13" s="62">
        <f t="shared" si="0"/>
        <v>309.5</v>
      </c>
    </row>
    <row r="14" spans="1:10" ht="19.5" customHeight="1">
      <c r="A14" s="6">
        <v>12</v>
      </c>
      <c r="B14" s="36" t="s">
        <v>288</v>
      </c>
      <c r="C14" s="37" t="s">
        <v>69</v>
      </c>
      <c r="D14" s="146">
        <v>13</v>
      </c>
      <c r="E14" s="25">
        <v>23</v>
      </c>
      <c r="F14" s="10">
        <v>28</v>
      </c>
      <c r="G14" s="97"/>
      <c r="H14" s="141">
        <v>41.5</v>
      </c>
      <c r="I14" s="205"/>
      <c r="J14" s="62">
        <f t="shared" si="0"/>
        <v>105.5</v>
      </c>
    </row>
    <row r="15" spans="1:10" ht="19.5" customHeight="1">
      <c r="A15" s="6">
        <v>13</v>
      </c>
      <c r="B15" s="36" t="s">
        <v>409</v>
      </c>
      <c r="C15" s="37" t="s">
        <v>410</v>
      </c>
      <c r="D15" s="149">
        <f>260+180</f>
        <v>440</v>
      </c>
      <c r="E15" s="25">
        <f>330</f>
        <v>330</v>
      </c>
      <c r="F15" s="185">
        <v>0</v>
      </c>
      <c r="G15" s="99">
        <v>280</v>
      </c>
      <c r="H15" s="141">
        <v>0</v>
      </c>
      <c r="I15" s="223"/>
      <c r="J15" s="62">
        <f t="shared" si="0"/>
        <v>1050</v>
      </c>
    </row>
    <row r="16" spans="1:10" ht="19.5" customHeight="1">
      <c r="A16" s="6">
        <v>14</v>
      </c>
      <c r="B16" s="36" t="s">
        <v>301</v>
      </c>
      <c r="C16" s="37" t="s">
        <v>272</v>
      </c>
      <c r="D16" s="146">
        <v>0</v>
      </c>
      <c r="E16" s="25">
        <v>4</v>
      </c>
      <c r="F16" s="10">
        <v>6.5</v>
      </c>
      <c r="G16" s="97"/>
      <c r="H16" s="141">
        <v>8</v>
      </c>
      <c r="I16" s="205"/>
      <c r="J16" s="62">
        <f t="shared" si="0"/>
        <v>18.5</v>
      </c>
    </row>
    <row r="17" spans="1:10" ht="19.5" customHeight="1">
      <c r="A17" s="6">
        <v>15</v>
      </c>
      <c r="B17" s="36" t="s">
        <v>289</v>
      </c>
      <c r="C17" s="37" t="s">
        <v>34</v>
      </c>
      <c r="D17" s="146">
        <v>0</v>
      </c>
      <c r="E17" s="25">
        <v>0</v>
      </c>
      <c r="F17" s="10">
        <v>9</v>
      </c>
      <c r="G17" s="97"/>
      <c r="H17" s="141">
        <v>0</v>
      </c>
      <c r="I17" s="205"/>
      <c r="J17" s="62">
        <f t="shared" si="0"/>
        <v>9</v>
      </c>
    </row>
    <row r="18" spans="1:10" ht="19.5" customHeight="1">
      <c r="A18" s="6">
        <v>16</v>
      </c>
      <c r="B18" s="36" t="s">
        <v>290</v>
      </c>
      <c r="C18" s="37" t="s">
        <v>43</v>
      </c>
      <c r="D18" s="146">
        <v>0</v>
      </c>
      <c r="E18" s="25">
        <v>0</v>
      </c>
      <c r="F18" s="10">
        <v>0</v>
      </c>
      <c r="G18" s="97"/>
      <c r="H18" s="141">
        <v>0</v>
      </c>
      <c r="I18" s="205"/>
      <c r="J18" s="62">
        <f t="shared" si="0"/>
        <v>0</v>
      </c>
    </row>
    <row r="19" spans="1:10" ht="19.5" customHeight="1">
      <c r="A19" s="6">
        <v>17</v>
      </c>
      <c r="B19" s="36" t="s">
        <v>291</v>
      </c>
      <c r="C19" s="37" t="s">
        <v>49</v>
      </c>
      <c r="D19" s="146">
        <v>16</v>
      </c>
      <c r="E19" s="25">
        <v>0</v>
      </c>
      <c r="F19" s="10">
        <v>0</v>
      </c>
      <c r="G19" s="97"/>
      <c r="H19" s="141">
        <v>13</v>
      </c>
      <c r="I19" s="205"/>
      <c r="J19" s="62">
        <f t="shared" si="0"/>
        <v>29</v>
      </c>
    </row>
    <row r="20" spans="1:10" ht="19.5" customHeight="1">
      <c r="A20" s="6">
        <v>18</v>
      </c>
      <c r="B20" s="36" t="s">
        <v>293</v>
      </c>
      <c r="C20" s="37" t="s">
        <v>8</v>
      </c>
      <c r="D20" s="146">
        <v>65</v>
      </c>
      <c r="E20" s="25">
        <v>0</v>
      </c>
      <c r="F20" s="10">
        <v>84</v>
      </c>
      <c r="G20" s="97"/>
      <c r="H20" s="141">
        <v>0</v>
      </c>
      <c r="I20" s="205"/>
      <c r="J20" s="62">
        <f t="shared" si="0"/>
        <v>149</v>
      </c>
    </row>
    <row r="21" spans="1:10" ht="19.5" customHeight="1">
      <c r="A21" s="6">
        <v>19</v>
      </c>
      <c r="B21" s="36" t="s">
        <v>275</v>
      </c>
      <c r="C21" s="37" t="s">
        <v>16</v>
      </c>
      <c r="D21" s="146">
        <v>6</v>
      </c>
      <c r="E21" s="25">
        <f>88.5+132+89.5</f>
        <v>310</v>
      </c>
      <c r="F21" s="10">
        <v>0</v>
      </c>
      <c r="G21" s="97"/>
      <c r="H21" s="141">
        <v>67</v>
      </c>
      <c r="I21" s="205"/>
      <c r="J21" s="62">
        <f t="shared" si="0"/>
        <v>383</v>
      </c>
    </row>
    <row r="22" spans="1:10" ht="19.5" customHeight="1" thickBot="1">
      <c r="A22" s="7">
        <v>20</v>
      </c>
      <c r="B22" s="38" t="s">
        <v>294</v>
      </c>
      <c r="C22" s="39" t="s">
        <v>20</v>
      </c>
      <c r="D22" s="148">
        <v>0</v>
      </c>
      <c r="E22" s="26">
        <v>27</v>
      </c>
      <c r="F22" s="12">
        <v>35</v>
      </c>
      <c r="G22" s="101"/>
      <c r="H22" s="142">
        <v>0</v>
      </c>
      <c r="I22" s="225"/>
      <c r="J22" s="63">
        <f t="shared" si="0"/>
        <v>62</v>
      </c>
    </row>
    <row r="23" spans="1:10" ht="15.75">
      <c r="A23" s="18"/>
      <c r="B23" s="68" t="s">
        <v>347</v>
      </c>
      <c r="C23" s="64"/>
      <c r="D23" s="65"/>
      <c r="E23" s="88">
        <v>9</v>
      </c>
      <c r="F23" s="66">
        <f>6+8</f>
        <v>14</v>
      </c>
      <c r="G23" s="66"/>
      <c r="H23" s="66"/>
      <c r="I23" s="66">
        <v>10</v>
      </c>
      <c r="J23" s="65">
        <f>SUM(D23:I23)</f>
        <v>33</v>
      </c>
    </row>
    <row r="24" spans="4:9" ht="15.75" thickBot="1">
      <c r="D24" s="15"/>
      <c r="E24" s="13"/>
      <c r="F24" s="189" t="s">
        <v>466</v>
      </c>
      <c r="G24" s="189" t="s">
        <v>467</v>
      </c>
      <c r="H24" s="189"/>
      <c r="I24" s="189"/>
    </row>
    <row r="25" spans="1:11" s="23" customFormat="1" ht="16.5" thickBot="1">
      <c r="A25" s="22"/>
      <c r="B25" s="78" t="s">
        <v>263</v>
      </c>
      <c r="D25" s="193">
        <f>SUM(D2:D24)</f>
        <v>1134</v>
      </c>
      <c r="E25" s="196">
        <f>SUM(E2:E24)</f>
        <v>1896.5</v>
      </c>
      <c r="F25" s="262">
        <f>SUM(F2:G23)</f>
        <v>1159.5</v>
      </c>
      <c r="G25" s="260"/>
      <c r="H25" s="259">
        <f>SUM(H2:I23)</f>
        <v>549.5</v>
      </c>
      <c r="I25" s="260"/>
      <c r="J25" s="77">
        <f>SUM(J2:J24)</f>
        <v>4739.5</v>
      </c>
      <c r="K25" s="176"/>
    </row>
    <row r="27" spans="2:6" ht="12.75">
      <c r="B27" s="16"/>
      <c r="D27" s="13"/>
      <c r="F27" s="17"/>
    </row>
  </sheetData>
  <mergeCells count="4">
    <mergeCell ref="F1:G1"/>
    <mergeCell ref="F25:G25"/>
    <mergeCell ref="H1:I1"/>
    <mergeCell ref="H25:I25"/>
  </mergeCells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2009 - 2010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J2" sqref="J2:J21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9" width="12.7109375" style="1" customWidth="1"/>
    <col min="10" max="10" width="15.7109375" style="0" customWidth="1"/>
  </cols>
  <sheetData>
    <row r="1" spans="1:10" ht="24.75" customHeight="1" thickBot="1">
      <c r="A1" s="251" t="s">
        <v>117</v>
      </c>
      <c r="B1" s="8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89" t="s">
        <v>304</v>
      </c>
    </row>
    <row r="2" spans="1:10" ht="19.5" customHeight="1">
      <c r="A2" s="43">
        <v>1</v>
      </c>
      <c r="B2" s="137" t="s">
        <v>1</v>
      </c>
      <c r="C2" s="138" t="s">
        <v>2</v>
      </c>
      <c r="D2" s="150">
        <v>70</v>
      </c>
      <c r="E2" s="85">
        <v>96.5</v>
      </c>
      <c r="F2" s="9">
        <f>88.5+79</f>
        <v>167.5</v>
      </c>
      <c r="G2" s="96"/>
      <c r="H2" s="151">
        <v>39.5</v>
      </c>
      <c r="I2" s="204"/>
      <c r="J2" s="61">
        <f>SUM(D2:I2)</f>
        <v>373.5</v>
      </c>
    </row>
    <row r="3" spans="1:10" ht="19.5" customHeight="1">
      <c r="A3" s="41">
        <v>2</v>
      </c>
      <c r="B3" s="36" t="s">
        <v>3</v>
      </c>
      <c r="C3" s="37" t="s">
        <v>4</v>
      </c>
      <c r="D3" s="146">
        <v>8.5</v>
      </c>
      <c r="E3" s="25">
        <v>9</v>
      </c>
      <c r="F3" s="10">
        <v>24</v>
      </c>
      <c r="G3" s="97"/>
      <c r="H3" s="141">
        <v>9</v>
      </c>
      <c r="I3" s="205"/>
      <c r="J3" s="153">
        <f aca="true" t="shared" si="0" ref="J3:J21">SUM(D3:I3)</f>
        <v>50.5</v>
      </c>
    </row>
    <row r="4" spans="1:10" ht="19.5" customHeight="1">
      <c r="A4" s="41">
        <v>3</v>
      </c>
      <c r="B4" s="36" t="s">
        <v>5</v>
      </c>
      <c r="C4" s="37" t="s">
        <v>6</v>
      </c>
      <c r="D4" s="146">
        <v>960</v>
      </c>
      <c r="E4" s="25">
        <f>60</f>
        <v>60</v>
      </c>
      <c r="F4" s="10">
        <v>0</v>
      </c>
      <c r="G4" s="200">
        <f>60+20+30+40</f>
        <v>150</v>
      </c>
      <c r="H4" s="141">
        <v>0</v>
      </c>
      <c r="I4" s="223">
        <f>100+520+40</f>
        <v>660</v>
      </c>
      <c r="J4" s="153">
        <f t="shared" si="0"/>
        <v>1830</v>
      </c>
    </row>
    <row r="5" spans="1:10" ht="19.5" customHeight="1">
      <c r="A5" s="41">
        <v>4</v>
      </c>
      <c r="B5" s="36" t="s">
        <v>7</v>
      </c>
      <c r="C5" s="37" t="s">
        <v>8</v>
      </c>
      <c r="D5" s="146">
        <v>31</v>
      </c>
      <c r="E5" s="25">
        <v>26</v>
      </c>
      <c r="F5" s="10">
        <v>0</v>
      </c>
      <c r="G5" s="97"/>
      <c r="H5" s="141">
        <v>0</v>
      </c>
      <c r="I5" s="205"/>
      <c r="J5" s="153">
        <f t="shared" si="0"/>
        <v>57</v>
      </c>
    </row>
    <row r="6" spans="1:10" ht="19.5" customHeight="1">
      <c r="A6" s="41">
        <v>5</v>
      </c>
      <c r="B6" s="36" t="s">
        <v>9</v>
      </c>
      <c r="C6" s="37" t="s">
        <v>10</v>
      </c>
      <c r="D6" s="146">
        <v>2.5</v>
      </c>
      <c r="E6" s="25">
        <v>16</v>
      </c>
      <c r="F6" s="10">
        <v>6</v>
      </c>
      <c r="G6" s="97"/>
      <c r="H6" s="141">
        <v>11</v>
      </c>
      <c r="I6" s="205"/>
      <c r="J6" s="153">
        <f t="shared" si="0"/>
        <v>35.5</v>
      </c>
    </row>
    <row r="7" spans="1:10" ht="19.5" customHeight="1">
      <c r="A7" s="41">
        <v>6</v>
      </c>
      <c r="B7" s="36" t="s">
        <v>11</v>
      </c>
      <c r="C7" s="37" t="s">
        <v>12</v>
      </c>
      <c r="D7" s="146">
        <v>290</v>
      </c>
      <c r="E7" s="25">
        <v>0</v>
      </c>
      <c r="F7" s="10">
        <v>313</v>
      </c>
      <c r="G7" s="97"/>
      <c r="H7" s="141">
        <v>368.5</v>
      </c>
      <c r="I7" s="205"/>
      <c r="J7" s="153">
        <f t="shared" si="0"/>
        <v>971.5</v>
      </c>
    </row>
    <row r="8" spans="1:10" ht="19.5" customHeight="1">
      <c r="A8" s="41">
        <v>7</v>
      </c>
      <c r="B8" s="36" t="s">
        <v>13</v>
      </c>
      <c r="C8" s="37" t="s">
        <v>14</v>
      </c>
      <c r="D8" s="146">
        <v>3</v>
      </c>
      <c r="E8" s="25">
        <v>5</v>
      </c>
      <c r="F8" s="10">
        <v>15.5</v>
      </c>
      <c r="G8" s="110"/>
      <c r="H8" s="207">
        <v>3</v>
      </c>
      <c r="I8" s="224"/>
      <c r="J8" s="153">
        <f t="shared" si="0"/>
        <v>26.5</v>
      </c>
    </row>
    <row r="9" spans="1:10" ht="19.5" customHeight="1">
      <c r="A9" s="41">
        <v>8</v>
      </c>
      <c r="B9" s="36" t="s">
        <v>15</v>
      </c>
      <c r="C9" s="37" t="s">
        <v>16</v>
      </c>
      <c r="D9" s="146">
        <v>11</v>
      </c>
      <c r="E9" s="25">
        <v>0</v>
      </c>
      <c r="F9" s="10">
        <v>11</v>
      </c>
      <c r="G9" s="97"/>
      <c r="H9" s="141">
        <v>15</v>
      </c>
      <c r="I9" s="205"/>
      <c r="J9" s="153">
        <f t="shared" si="0"/>
        <v>37</v>
      </c>
    </row>
    <row r="10" spans="1:10" ht="19.5" customHeight="1">
      <c r="A10" s="41">
        <v>9</v>
      </c>
      <c r="B10" s="36" t="s">
        <v>17</v>
      </c>
      <c r="C10" s="37" t="s">
        <v>18</v>
      </c>
      <c r="D10" s="146">
        <v>10</v>
      </c>
      <c r="E10" s="25">
        <v>0</v>
      </c>
      <c r="F10" s="10">
        <v>5</v>
      </c>
      <c r="G10" s="97"/>
      <c r="H10" s="141">
        <v>0</v>
      </c>
      <c r="I10" s="205"/>
      <c r="J10" s="153">
        <f t="shared" si="0"/>
        <v>15</v>
      </c>
    </row>
    <row r="11" spans="1:10" ht="19.5" customHeight="1">
      <c r="A11" s="41">
        <v>10</v>
      </c>
      <c r="B11" s="36" t="s">
        <v>19</v>
      </c>
      <c r="C11" s="37" t="s">
        <v>20</v>
      </c>
      <c r="D11" s="146">
        <v>12.5</v>
      </c>
      <c r="E11" s="25">
        <v>19.5</v>
      </c>
      <c r="F11" s="10">
        <v>13</v>
      </c>
      <c r="G11" s="97"/>
      <c r="H11" s="141">
        <v>31.5</v>
      </c>
      <c r="I11" s="205"/>
      <c r="J11" s="153">
        <f t="shared" si="0"/>
        <v>76.5</v>
      </c>
    </row>
    <row r="12" spans="1:10" ht="19.5" customHeight="1">
      <c r="A12" s="41">
        <v>11</v>
      </c>
      <c r="B12" s="36" t="s">
        <v>21</v>
      </c>
      <c r="C12" s="37" t="s">
        <v>22</v>
      </c>
      <c r="D12" s="146">
        <v>10</v>
      </c>
      <c r="E12" s="25">
        <v>5.5</v>
      </c>
      <c r="F12" s="10">
        <v>15.5</v>
      </c>
      <c r="G12" s="97"/>
      <c r="H12" s="141">
        <v>0</v>
      </c>
      <c r="I12" s="205"/>
      <c r="J12" s="153">
        <f t="shared" si="0"/>
        <v>31</v>
      </c>
    </row>
    <row r="13" spans="1:10" ht="19.5" customHeight="1">
      <c r="A13" s="41">
        <v>12</v>
      </c>
      <c r="B13" s="36" t="s">
        <v>295</v>
      </c>
      <c r="C13" s="37" t="s">
        <v>296</v>
      </c>
      <c r="D13" s="146">
        <v>5</v>
      </c>
      <c r="E13" s="25">
        <v>0</v>
      </c>
      <c r="F13" s="10">
        <v>0</v>
      </c>
      <c r="G13" s="97"/>
      <c r="H13" s="141">
        <v>4</v>
      </c>
      <c r="I13" s="205"/>
      <c r="J13" s="153">
        <f t="shared" si="0"/>
        <v>9</v>
      </c>
    </row>
    <row r="14" spans="1:10" ht="19.5" customHeight="1">
      <c r="A14" s="41">
        <v>13</v>
      </c>
      <c r="B14" s="36" t="s">
        <v>297</v>
      </c>
      <c r="C14" s="37" t="s">
        <v>343</v>
      </c>
      <c r="D14" s="146">
        <v>13</v>
      </c>
      <c r="E14" s="25">
        <v>45</v>
      </c>
      <c r="F14" s="10">
        <v>3</v>
      </c>
      <c r="G14" s="97"/>
      <c r="H14" s="141">
        <v>0</v>
      </c>
      <c r="I14" s="205"/>
      <c r="J14" s="153">
        <f t="shared" si="0"/>
        <v>61</v>
      </c>
    </row>
    <row r="15" spans="1:10" ht="19.5" customHeight="1">
      <c r="A15" s="41">
        <v>14</v>
      </c>
      <c r="B15" s="36" t="s">
        <v>24</v>
      </c>
      <c r="C15" s="37" t="s">
        <v>25</v>
      </c>
      <c r="D15" s="146">
        <v>19</v>
      </c>
      <c r="E15" s="25">
        <f>9.5+10</f>
        <v>19.5</v>
      </c>
      <c r="F15" s="10">
        <f>5+20</f>
        <v>25</v>
      </c>
      <c r="G15" s="97"/>
      <c r="H15" s="141">
        <f>5.5+12</f>
        <v>17.5</v>
      </c>
      <c r="I15" s="205"/>
      <c r="J15" s="153">
        <f t="shared" si="0"/>
        <v>81</v>
      </c>
    </row>
    <row r="16" spans="1:10" ht="19.5" customHeight="1">
      <c r="A16" s="41">
        <v>15</v>
      </c>
      <c r="B16" s="36" t="s">
        <v>26</v>
      </c>
      <c r="C16" s="37" t="s">
        <v>27</v>
      </c>
      <c r="D16" s="146">
        <v>17</v>
      </c>
      <c r="E16" s="25">
        <f>320+660</f>
        <v>980</v>
      </c>
      <c r="F16" s="10">
        <v>0</v>
      </c>
      <c r="G16" s="112">
        <f>300+340</f>
        <v>640</v>
      </c>
      <c r="H16" s="207">
        <v>0</v>
      </c>
      <c r="I16" s="229">
        <f>80</f>
        <v>80</v>
      </c>
      <c r="J16" s="153">
        <f t="shared" si="0"/>
        <v>1717</v>
      </c>
    </row>
    <row r="17" spans="1:10" ht="19.5" customHeight="1">
      <c r="A17" s="41">
        <v>16</v>
      </c>
      <c r="B17" s="36" t="s">
        <v>28</v>
      </c>
      <c r="C17" s="37" t="s">
        <v>29</v>
      </c>
      <c r="D17" s="146">
        <v>4</v>
      </c>
      <c r="E17" s="25">
        <v>12</v>
      </c>
      <c r="F17" s="10">
        <v>0</v>
      </c>
      <c r="G17" s="97"/>
      <c r="H17" s="141">
        <v>0</v>
      </c>
      <c r="I17" s="205"/>
      <c r="J17" s="153">
        <f t="shared" si="0"/>
        <v>16</v>
      </c>
    </row>
    <row r="18" spans="1:10" ht="19.5" customHeight="1">
      <c r="A18" s="41">
        <v>17</v>
      </c>
      <c r="B18" s="36" t="s">
        <v>31</v>
      </c>
      <c r="C18" s="37" t="s">
        <v>32</v>
      </c>
      <c r="D18" s="146">
        <v>148</v>
      </c>
      <c r="E18" s="25">
        <f>45+49+39</f>
        <v>133</v>
      </c>
      <c r="F18" s="10">
        <v>13</v>
      </c>
      <c r="G18" s="99">
        <v>140</v>
      </c>
      <c r="H18" s="141">
        <v>97.5</v>
      </c>
      <c r="I18" s="223"/>
      <c r="J18" s="153">
        <f t="shared" si="0"/>
        <v>531.5</v>
      </c>
    </row>
    <row r="19" spans="1:10" ht="19.5" customHeight="1">
      <c r="A19" s="41"/>
      <c r="B19" s="36" t="s">
        <v>459</v>
      </c>
      <c r="C19" s="37" t="s">
        <v>14</v>
      </c>
      <c r="D19" s="146" t="s">
        <v>405</v>
      </c>
      <c r="E19" s="25">
        <v>0</v>
      </c>
      <c r="F19" s="10" t="s">
        <v>405</v>
      </c>
      <c r="G19" s="99"/>
      <c r="H19" s="141">
        <v>0</v>
      </c>
      <c r="I19" s="223"/>
      <c r="J19" s="153">
        <f t="shared" si="0"/>
        <v>0</v>
      </c>
    </row>
    <row r="20" spans="1:10" ht="19.5" customHeight="1">
      <c r="A20" s="41">
        <v>18</v>
      </c>
      <c r="B20" s="36" t="s">
        <v>33</v>
      </c>
      <c r="C20" s="37" t="s">
        <v>34</v>
      </c>
      <c r="D20" s="146">
        <v>3</v>
      </c>
      <c r="E20" s="25">
        <v>10</v>
      </c>
      <c r="F20" s="10">
        <v>13</v>
      </c>
      <c r="G20" s="97"/>
      <c r="H20" s="141">
        <v>5</v>
      </c>
      <c r="I20" s="205"/>
      <c r="J20" s="153">
        <f t="shared" si="0"/>
        <v>31</v>
      </c>
    </row>
    <row r="21" spans="1:10" ht="19.5" customHeight="1" thickBot="1">
      <c r="A21" s="42">
        <v>19</v>
      </c>
      <c r="B21" s="38" t="s">
        <v>35</v>
      </c>
      <c r="C21" s="39" t="s">
        <v>30</v>
      </c>
      <c r="D21" s="158">
        <v>136</v>
      </c>
      <c r="E21" s="26">
        <v>85</v>
      </c>
      <c r="F21" s="12">
        <v>126</v>
      </c>
      <c r="G21" s="101"/>
      <c r="H21" s="142">
        <v>0</v>
      </c>
      <c r="I21" s="227">
        <f>150</f>
        <v>150</v>
      </c>
      <c r="J21" s="222">
        <f t="shared" si="0"/>
        <v>497</v>
      </c>
    </row>
    <row r="22" spans="1:10" ht="15.75">
      <c r="A22" s="18"/>
      <c r="B22" s="68" t="s">
        <v>347</v>
      </c>
      <c r="C22" s="70"/>
      <c r="D22" s="71"/>
      <c r="E22" s="69"/>
      <c r="F22" s="67"/>
      <c r="G22" s="67"/>
      <c r="H22" s="67"/>
      <c r="I22" s="67"/>
      <c r="J22" s="75">
        <f>SUM(D22:I22)</f>
        <v>0</v>
      </c>
    </row>
    <row r="23" spans="1:10" ht="16.5" thickBot="1">
      <c r="A23" s="18"/>
      <c r="B23" s="68"/>
      <c r="C23" s="70"/>
      <c r="D23" s="71"/>
      <c r="E23" s="69"/>
      <c r="F23" s="189" t="s">
        <v>466</v>
      </c>
      <c r="G23" s="189" t="s">
        <v>467</v>
      </c>
      <c r="H23" s="189"/>
      <c r="I23" s="189"/>
      <c r="J23" s="70"/>
    </row>
    <row r="24" spans="1:11" s="23" customFormat="1" ht="16.5" thickBot="1">
      <c r="A24" s="22"/>
      <c r="B24" s="78" t="s">
        <v>263</v>
      </c>
      <c r="D24" s="193">
        <f>SUM(D2:D22)</f>
        <v>1753.5</v>
      </c>
      <c r="E24" s="196">
        <f>SUM(E2:E23)</f>
        <v>1522</v>
      </c>
      <c r="F24" s="259">
        <f>SUM(F2:G22)</f>
        <v>1680.5</v>
      </c>
      <c r="G24" s="260"/>
      <c r="H24" s="259">
        <f>SUM(H2:I22)</f>
        <v>1491.5</v>
      </c>
      <c r="I24" s="260"/>
      <c r="J24" s="77">
        <f>SUM(J2:J23)</f>
        <v>6447.5</v>
      </c>
      <c r="K24" s="176"/>
    </row>
    <row r="26" spans="4:6" ht="12.75">
      <c r="D26" s="13"/>
      <c r="F26" s="13"/>
    </row>
    <row r="27" ht="12.75">
      <c r="F27" s="13"/>
    </row>
  </sheetData>
  <mergeCells count="4">
    <mergeCell ref="F1:G1"/>
    <mergeCell ref="F24:G24"/>
    <mergeCell ref="H1:I1"/>
    <mergeCell ref="H24:I24"/>
  </mergeCells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2009 - 2010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J2" sqref="J2:J23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9" width="12.7109375" style="1" customWidth="1"/>
    <col min="10" max="10" width="15.7109375" style="0" customWidth="1"/>
  </cols>
  <sheetData>
    <row r="1" spans="1:10" ht="24.75" customHeight="1" thickBot="1">
      <c r="A1" s="254" t="s">
        <v>306</v>
      </c>
      <c r="B1" s="8" t="s">
        <v>261</v>
      </c>
      <c r="C1" s="3" t="s">
        <v>262</v>
      </c>
      <c r="D1" s="143" t="s">
        <v>457</v>
      </c>
      <c r="E1" s="159" t="s">
        <v>460</v>
      </c>
      <c r="F1" s="257" t="s">
        <v>461</v>
      </c>
      <c r="G1" s="261"/>
      <c r="H1" s="257" t="s">
        <v>468</v>
      </c>
      <c r="I1" s="261"/>
      <c r="J1" s="60" t="s">
        <v>304</v>
      </c>
    </row>
    <row r="2" spans="1:10" ht="19.5" customHeight="1">
      <c r="A2" s="5">
        <v>1</v>
      </c>
      <c r="B2" s="180" t="s">
        <v>464</v>
      </c>
      <c r="C2" s="35" t="s">
        <v>465</v>
      </c>
      <c r="D2" s="150" t="s">
        <v>405</v>
      </c>
      <c r="E2" s="85" t="s">
        <v>405</v>
      </c>
      <c r="F2" s="9">
        <v>0</v>
      </c>
      <c r="G2" s="96"/>
      <c r="H2" s="151">
        <v>0</v>
      </c>
      <c r="I2" s="204"/>
      <c r="J2" s="61">
        <f>SUM(D2:I2)</f>
        <v>0</v>
      </c>
    </row>
    <row r="3" spans="1:10" ht="19.5" customHeight="1">
      <c r="A3" s="6">
        <v>2</v>
      </c>
      <c r="B3" s="36" t="s">
        <v>464</v>
      </c>
      <c r="C3" s="37" t="s">
        <v>8</v>
      </c>
      <c r="D3" s="146" t="s">
        <v>405</v>
      </c>
      <c r="E3" s="25" t="s">
        <v>405</v>
      </c>
      <c r="F3" s="10">
        <v>0</v>
      </c>
      <c r="G3" s="97"/>
      <c r="H3" s="141">
        <v>0</v>
      </c>
      <c r="I3" s="205"/>
      <c r="J3" s="62">
        <f aca="true" t="shared" si="0" ref="J3:J23">SUM(D3:I3)</f>
        <v>0</v>
      </c>
    </row>
    <row r="4" spans="1:10" ht="19.5" customHeight="1">
      <c r="A4" s="6">
        <v>3</v>
      </c>
      <c r="B4" s="181" t="s">
        <v>406</v>
      </c>
      <c r="C4" s="138" t="s">
        <v>14</v>
      </c>
      <c r="D4" s="150">
        <v>0</v>
      </c>
      <c r="E4" s="85">
        <v>0</v>
      </c>
      <c r="F4" s="9">
        <v>7.5</v>
      </c>
      <c r="G4" s="96"/>
      <c r="H4" s="144">
        <v>0</v>
      </c>
      <c r="I4" s="226"/>
      <c r="J4" s="62">
        <f t="shared" si="0"/>
        <v>7.5</v>
      </c>
    </row>
    <row r="5" spans="1:10" ht="19.5" customHeight="1">
      <c r="A5" s="6">
        <v>4</v>
      </c>
      <c r="B5" s="181" t="s">
        <v>37</v>
      </c>
      <c r="C5" s="138" t="s">
        <v>12</v>
      </c>
      <c r="D5" s="146">
        <v>3.5</v>
      </c>
      <c r="E5" s="25">
        <v>0</v>
      </c>
      <c r="F5" s="10">
        <v>18</v>
      </c>
      <c r="G5" s="97"/>
      <c r="H5" s="141">
        <v>0</v>
      </c>
      <c r="I5" s="205"/>
      <c r="J5" s="62">
        <f t="shared" si="0"/>
        <v>21.5</v>
      </c>
    </row>
    <row r="6" spans="1:10" ht="19.5" customHeight="1">
      <c r="A6" s="6">
        <v>5</v>
      </c>
      <c r="B6" s="182" t="s">
        <v>38</v>
      </c>
      <c r="C6" s="37" t="s">
        <v>16</v>
      </c>
      <c r="D6" s="146">
        <f>23+155</f>
        <v>178</v>
      </c>
      <c r="E6" s="25">
        <v>73</v>
      </c>
      <c r="F6" s="10">
        <v>164</v>
      </c>
      <c r="G6" s="97"/>
      <c r="H6" s="141">
        <f>22+379.5+117</f>
        <v>518.5</v>
      </c>
      <c r="I6" s="205"/>
      <c r="J6" s="62">
        <f t="shared" si="0"/>
        <v>933.5</v>
      </c>
    </row>
    <row r="7" spans="1:10" ht="19.5" customHeight="1">
      <c r="A7" s="6">
        <v>6</v>
      </c>
      <c r="B7" s="182" t="s">
        <v>298</v>
      </c>
      <c r="C7" s="37" t="s">
        <v>32</v>
      </c>
      <c r="D7" s="146">
        <v>29</v>
      </c>
      <c r="E7" s="25">
        <v>36</v>
      </c>
      <c r="F7" s="10">
        <v>27</v>
      </c>
      <c r="G7" s="97"/>
      <c r="H7" s="141">
        <v>22</v>
      </c>
      <c r="I7" s="205"/>
      <c r="J7" s="62">
        <f t="shared" si="0"/>
        <v>114</v>
      </c>
    </row>
    <row r="8" spans="1:10" ht="19.5" customHeight="1">
      <c r="A8" s="6">
        <v>7</v>
      </c>
      <c r="B8" s="182" t="s">
        <v>39</v>
      </c>
      <c r="C8" s="37" t="s">
        <v>40</v>
      </c>
      <c r="D8" s="149">
        <v>36</v>
      </c>
      <c r="E8" s="25">
        <v>16</v>
      </c>
      <c r="F8" s="185">
        <v>21</v>
      </c>
      <c r="G8" s="99"/>
      <c r="H8" s="141">
        <v>46.5</v>
      </c>
      <c r="I8" s="223"/>
      <c r="J8" s="62">
        <f t="shared" si="0"/>
        <v>119.5</v>
      </c>
    </row>
    <row r="9" spans="1:10" ht="19.5" customHeight="1">
      <c r="A9" s="6">
        <v>8</v>
      </c>
      <c r="B9" s="182" t="s">
        <v>41</v>
      </c>
      <c r="C9" s="37" t="s">
        <v>30</v>
      </c>
      <c r="D9" s="146">
        <v>146</v>
      </c>
      <c r="E9" s="25">
        <f>26+55</f>
        <v>81</v>
      </c>
      <c r="F9" s="10">
        <f>46+50</f>
        <v>96</v>
      </c>
      <c r="G9" s="97"/>
      <c r="H9" s="141">
        <v>0</v>
      </c>
      <c r="I9" s="223">
        <f>320</f>
        <v>320</v>
      </c>
      <c r="J9" s="62">
        <f t="shared" si="0"/>
        <v>643</v>
      </c>
    </row>
    <row r="10" spans="1:10" ht="19.5" customHeight="1">
      <c r="A10" s="6">
        <v>9</v>
      </c>
      <c r="B10" s="182" t="s">
        <v>42</v>
      </c>
      <c r="C10" s="37" t="s">
        <v>43</v>
      </c>
      <c r="D10" s="146">
        <v>21</v>
      </c>
      <c r="E10" s="25">
        <v>15</v>
      </c>
      <c r="F10" s="10">
        <v>21</v>
      </c>
      <c r="G10" s="97"/>
      <c r="H10" s="141">
        <v>9.5</v>
      </c>
      <c r="I10" s="205"/>
      <c r="J10" s="62">
        <f t="shared" si="0"/>
        <v>66.5</v>
      </c>
    </row>
    <row r="11" spans="1:10" ht="19.5" customHeight="1">
      <c r="A11" s="6">
        <v>10</v>
      </c>
      <c r="B11" s="182" t="s">
        <v>44</v>
      </c>
      <c r="C11" s="37" t="s">
        <v>45</v>
      </c>
      <c r="D11" s="146">
        <v>0</v>
      </c>
      <c r="E11" s="25">
        <v>26</v>
      </c>
      <c r="F11" s="10">
        <v>7</v>
      </c>
      <c r="G11" s="97"/>
      <c r="H11" s="141">
        <v>10</v>
      </c>
      <c r="I11" s="205"/>
      <c r="J11" s="62">
        <f t="shared" si="0"/>
        <v>43</v>
      </c>
    </row>
    <row r="12" spans="1:10" ht="19.5" customHeight="1">
      <c r="A12" s="6">
        <v>11</v>
      </c>
      <c r="B12" s="182" t="s">
        <v>46</v>
      </c>
      <c r="C12" s="37" t="s">
        <v>47</v>
      </c>
      <c r="D12" s="146">
        <v>0</v>
      </c>
      <c r="E12" s="25">
        <v>7</v>
      </c>
      <c r="F12" s="10">
        <v>18</v>
      </c>
      <c r="G12" s="97"/>
      <c r="H12" s="141">
        <v>12.5</v>
      </c>
      <c r="I12" s="205"/>
      <c r="J12" s="62">
        <f t="shared" si="0"/>
        <v>37.5</v>
      </c>
    </row>
    <row r="13" spans="1:10" ht="19.5" customHeight="1">
      <c r="A13" s="6">
        <v>12</v>
      </c>
      <c r="B13" s="182" t="s">
        <v>48</v>
      </c>
      <c r="C13" s="37" t="s">
        <v>49</v>
      </c>
      <c r="D13" s="146">
        <v>36</v>
      </c>
      <c r="E13" s="25">
        <v>9.5</v>
      </c>
      <c r="F13" s="10">
        <v>29</v>
      </c>
      <c r="G13" s="97"/>
      <c r="H13" s="141">
        <v>1.5</v>
      </c>
      <c r="I13" s="205"/>
      <c r="J13" s="62">
        <f t="shared" si="0"/>
        <v>76</v>
      </c>
    </row>
    <row r="14" spans="1:10" ht="19.5" customHeight="1">
      <c r="A14" s="6">
        <v>13</v>
      </c>
      <c r="B14" s="182" t="s">
        <v>50</v>
      </c>
      <c r="C14" s="37" t="s">
        <v>51</v>
      </c>
      <c r="D14" s="146">
        <v>18</v>
      </c>
      <c r="E14" s="25">
        <v>49.5</v>
      </c>
      <c r="F14" s="10">
        <v>38</v>
      </c>
      <c r="G14" s="97"/>
      <c r="H14" s="141">
        <v>38</v>
      </c>
      <c r="I14" s="205"/>
      <c r="J14" s="62">
        <f t="shared" si="0"/>
        <v>143.5</v>
      </c>
    </row>
    <row r="15" spans="1:10" ht="19.5" customHeight="1">
      <c r="A15" s="6">
        <v>14</v>
      </c>
      <c r="B15" s="182" t="s">
        <v>53</v>
      </c>
      <c r="C15" s="37" t="s">
        <v>54</v>
      </c>
      <c r="D15" s="146">
        <v>10.5</v>
      </c>
      <c r="E15" s="25">
        <v>8</v>
      </c>
      <c r="F15" s="185">
        <v>60</v>
      </c>
      <c r="G15" s="97"/>
      <c r="H15" s="141">
        <v>21</v>
      </c>
      <c r="I15" s="205"/>
      <c r="J15" s="62">
        <f t="shared" si="0"/>
        <v>99.5</v>
      </c>
    </row>
    <row r="16" spans="1:10" ht="19.5" customHeight="1">
      <c r="A16" s="6">
        <v>15</v>
      </c>
      <c r="B16" s="182" t="s">
        <v>55</v>
      </c>
      <c r="C16" s="37" t="s">
        <v>56</v>
      </c>
      <c r="D16" s="146">
        <v>0</v>
      </c>
      <c r="E16" s="25">
        <f>370+20</f>
        <v>390</v>
      </c>
      <c r="F16" s="185">
        <v>0</v>
      </c>
      <c r="G16" s="99">
        <f>540</f>
        <v>540</v>
      </c>
      <c r="H16" s="141">
        <v>52</v>
      </c>
      <c r="I16" s="223"/>
      <c r="J16" s="62">
        <f t="shared" si="0"/>
        <v>982</v>
      </c>
    </row>
    <row r="17" spans="1:10" ht="19.5" customHeight="1">
      <c r="A17" s="6">
        <v>16</v>
      </c>
      <c r="B17" s="182" t="s">
        <v>57</v>
      </c>
      <c r="C17" s="37" t="s">
        <v>58</v>
      </c>
      <c r="D17" s="146">
        <v>15</v>
      </c>
      <c r="E17" s="25">
        <v>7</v>
      </c>
      <c r="F17" s="185">
        <v>0</v>
      </c>
      <c r="G17" s="99"/>
      <c r="H17" s="141">
        <v>15</v>
      </c>
      <c r="I17" s="223"/>
      <c r="J17" s="62">
        <f t="shared" si="0"/>
        <v>37</v>
      </c>
    </row>
    <row r="18" spans="1:10" ht="19.5" customHeight="1">
      <c r="A18" s="6">
        <v>17</v>
      </c>
      <c r="B18" s="182" t="s">
        <v>59</v>
      </c>
      <c r="C18" s="37" t="s">
        <v>60</v>
      </c>
      <c r="D18" s="146">
        <v>250</v>
      </c>
      <c r="E18" s="25">
        <v>7</v>
      </c>
      <c r="F18" s="10">
        <v>0</v>
      </c>
      <c r="G18" s="99">
        <f>200</f>
        <v>200</v>
      </c>
      <c r="H18" s="141">
        <v>2</v>
      </c>
      <c r="I18" s="223">
        <f>100</f>
        <v>100</v>
      </c>
      <c r="J18" s="62">
        <f t="shared" si="0"/>
        <v>559</v>
      </c>
    </row>
    <row r="19" spans="1:10" ht="19.5" customHeight="1">
      <c r="A19" s="6">
        <v>18</v>
      </c>
      <c r="B19" s="182" t="s">
        <v>61</v>
      </c>
      <c r="C19" s="37" t="s">
        <v>43</v>
      </c>
      <c r="D19" s="146">
        <v>15</v>
      </c>
      <c r="E19" s="25">
        <f>12+11+75</f>
        <v>98</v>
      </c>
      <c r="F19" s="10">
        <v>43</v>
      </c>
      <c r="G19" s="99"/>
      <c r="H19" s="141">
        <v>34</v>
      </c>
      <c r="I19" s="223"/>
      <c r="J19" s="62">
        <f t="shared" si="0"/>
        <v>190</v>
      </c>
    </row>
    <row r="20" spans="1:10" ht="19.5" customHeight="1">
      <c r="A20" s="6">
        <v>19</v>
      </c>
      <c r="B20" s="182" t="s">
        <v>62</v>
      </c>
      <c r="C20" s="37" t="s">
        <v>63</v>
      </c>
      <c r="D20" s="146">
        <v>0</v>
      </c>
      <c r="E20" s="25">
        <f>60</f>
        <v>60</v>
      </c>
      <c r="F20" s="10">
        <v>0</v>
      </c>
      <c r="G20" s="99">
        <f>40</f>
        <v>40</v>
      </c>
      <c r="H20" s="141">
        <v>0</v>
      </c>
      <c r="I20" s="223">
        <v>100</v>
      </c>
      <c r="J20" s="62">
        <f t="shared" si="0"/>
        <v>200</v>
      </c>
    </row>
    <row r="21" spans="1:10" ht="19.5" customHeight="1">
      <c r="A21" s="6">
        <v>20</v>
      </c>
      <c r="B21" s="182" t="s">
        <v>64</v>
      </c>
      <c r="C21" s="37" t="s">
        <v>65</v>
      </c>
      <c r="D21" s="146">
        <v>12</v>
      </c>
      <c r="E21" s="25">
        <v>8</v>
      </c>
      <c r="F21" s="10">
        <v>8</v>
      </c>
      <c r="G21" s="97"/>
      <c r="H21" s="141">
        <v>0</v>
      </c>
      <c r="I21" s="223">
        <f>480</f>
        <v>480</v>
      </c>
      <c r="J21" s="62">
        <f t="shared" si="0"/>
        <v>508</v>
      </c>
    </row>
    <row r="22" spans="1:10" ht="19.5" customHeight="1">
      <c r="A22" s="6">
        <v>21</v>
      </c>
      <c r="B22" s="182" t="s">
        <v>66</v>
      </c>
      <c r="C22" s="37" t="s">
        <v>16</v>
      </c>
      <c r="D22" s="147">
        <v>2</v>
      </c>
      <c r="E22" s="166">
        <v>5.5</v>
      </c>
      <c r="F22" s="11">
        <v>14</v>
      </c>
      <c r="G22" s="102"/>
      <c r="H22" s="208">
        <v>7.5</v>
      </c>
      <c r="I22" s="231"/>
      <c r="J22" s="62">
        <f t="shared" si="0"/>
        <v>29</v>
      </c>
    </row>
    <row r="23" spans="1:10" ht="19.5" customHeight="1" thickBot="1">
      <c r="A23" s="7">
        <v>22</v>
      </c>
      <c r="B23" s="183" t="s">
        <v>67</v>
      </c>
      <c r="C23" s="39" t="s">
        <v>40</v>
      </c>
      <c r="D23" s="148">
        <v>101</v>
      </c>
      <c r="E23" s="26">
        <f>86+13</f>
        <v>99</v>
      </c>
      <c r="F23" s="12">
        <v>190</v>
      </c>
      <c r="G23" s="101"/>
      <c r="H23" s="142">
        <v>56</v>
      </c>
      <c r="I23" s="227">
        <f>140+130</f>
        <v>270</v>
      </c>
      <c r="J23" s="63">
        <f t="shared" si="0"/>
        <v>716</v>
      </c>
    </row>
    <row r="24" spans="1:10" s="64" customFormat="1" ht="15.75">
      <c r="A24" s="72"/>
      <c r="B24" s="68" t="s">
        <v>347</v>
      </c>
      <c r="D24" s="65">
        <v>18</v>
      </c>
      <c r="E24" s="88">
        <f>41+11</f>
        <v>52</v>
      </c>
      <c r="F24" s="65">
        <v>19</v>
      </c>
      <c r="G24" s="65"/>
      <c r="H24" s="65"/>
      <c r="I24" s="65">
        <v>8</v>
      </c>
      <c r="J24" s="65">
        <f>SUM(D24:I24)</f>
        <v>97</v>
      </c>
    </row>
    <row r="25" spans="4:10" ht="15.75" thickBot="1">
      <c r="D25" s="15"/>
      <c r="E25" s="13"/>
      <c r="F25" s="189" t="s">
        <v>466</v>
      </c>
      <c r="G25" s="189" t="s">
        <v>467</v>
      </c>
      <c r="H25" s="189"/>
      <c r="I25" s="189"/>
      <c r="J25" s="17"/>
    </row>
    <row r="26" spans="1:11" s="23" customFormat="1" ht="16.5" thickBot="1">
      <c r="A26" s="22"/>
      <c r="B26" s="78" t="s">
        <v>263</v>
      </c>
      <c r="D26" s="193">
        <f>SUM(D4:D25)</f>
        <v>891</v>
      </c>
      <c r="E26" s="196">
        <f>SUM(E4:E25)</f>
        <v>1047.5</v>
      </c>
      <c r="F26" s="259">
        <f>SUM(F2:G24)</f>
        <v>1560.5</v>
      </c>
      <c r="G26" s="260"/>
      <c r="H26" s="259">
        <f>SUM(H2:I24)</f>
        <v>2124</v>
      </c>
      <c r="I26" s="260"/>
      <c r="J26" s="77">
        <f>SUM(J2:J25)</f>
        <v>5623</v>
      </c>
      <c r="K26" s="176"/>
    </row>
    <row r="27" ht="12.75">
      <c r="J27" s="17"/>
    </row>
    <row r="28" spans="2:10" ht="12.75">
      <c r="B28" s="16"/>
      <c r="D28" s="13"/>
      <c r="F28" s="17"/>
      <c r="J28" s="17"/>
    </row>
  </sheetData>
  <mergeCells count="4">
    <mergeCell ref="F1:G1"/>
    <mergeCell ref="F26:G26"/>
    <mergeCell ref="H1:I1"/>
    <mergeCell ref="H26:I26"/>
  </mergeCells>
  <printOptions/>
  <pageMargins left="0.75" right="0.75" top="1" bottom="1" header="0.4921259845" footer="0.4921259845"/>
  <pageSetup fitToHeight="1" fitToWidth="1" horizontalDpi="300" verticalDpi="300" orientation="landscape" paperSize="9" scale="91" r:id="rId1"/>
  <headerFooter alignWithMargins="0">
    <oddHeader>&amp;C&amp;"Arial,Tučné"&amp;16Sběr 2009 - 2010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I2" sqref="I2:I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8" width="12.7109375" style="0" customWidth="1"/>
    <col min="9" max="9" width="15.7109375" style="0" customWidth="1"/>
  </cols>
  <sheetData>
    <row r="1" spans="1:9" ht="24.75" customHeight="1" thickBot="1">
      <c r="A1" s="251" t="s">
        <v>163</v>
      </c>
      <c r="B1" s="8" t="s">
        <v>261</v>
      </c>
      <c r="C1" s="3" t="s">
        <v>262</v>
      </c>
      <c r="D1" s="143" t="s">
        <v>457</v>
      </c>
      <c r="E1" s="159" t="s">
        <v>460</v>
      </c>
      <c r="F1" s="188" t="s">
        <v>461</v>
      </c>
      <c r="G1" s="257" t="s">
        <v>468</v>
      </c>
      <c r="H1" s="261"/>
      <c r="I1" s="60" t="s">
        <v>304</v>
      </c>
    </row>
    <row r="2" spans="1:9" ht="19.5" customHeight="1">
      <c r="A2" s="40">
        <v>1</v>
      </c>
      <c r="B2" s="137" t="s">
        <v>411</v>
      </c>
      <c r="C2" s="138" t="s">
        <v>412</v>
      </c>
      <c r="D2" s="160">
        <v>180</v>
      </c>
      <c r="E2" s="85">
        <v>0</v>
      </c>
      <c r="F2" s="209">
        <v>6</v>
      </c>
      <c r="G2" s="212">
        <v>0</v>
      </c>
      <c r="H2" s="240"/>
      <c r="I2" s="61">
        <f>SUM(D2:H2)</f>
        <v>186</v>
      </c>
    </row>
    <row r="3" spans="1:9" ht="19.5" customHeight="1">
      <c r="A3" s="6">
        <v>2</v>
      </c>
      <c r="B3" s="36" t="s">
        <v>413</v>
      </c>
      <c r="C3" s="37" t="s">
        <v>23</v>
      </c>
      <c r="D3" s="149">
        <v>0</v>
      </c>
      <c r="E3" s="25">
        <v>0</v>
      </c>
      <c r="F3" s="210">
        <v>0</v>
      </c>
      <c r="G3" s="213">
        <v>0</v>
      </c>
      <c r="H3" s="241"/>
      <c r="I3" s="62">
        <f aca="true" t="shared" si="0" ref="I3:I23">SUM(D3:H3)</f>
        <v>0</v>
      </c>
    </row>
    <row r="4" spans="1:9" ht="19.5" customHeight="1">
      <c r="A4" s="136">
        <v>3</v>
      </c>
      <c r="B4" s="36" t="s">
        <v>414</v>
      </c>
      <c r="C4" s="37" t="s">
        <v>40</v>
      </c>
      <c r="D4" s="146">
        <v>3</v>
      </c>
      <c r="E4" s="25">
        <v>10.5</v>
      </c>
      <c r="F4" s="210">
        <v>15</v>
      </c>
      <c r="G4" s="213">
        <v>10.5</v>
      </c>
      <c r="H4" s="241"/>
      <c r="I4" s="62">
        <f t="shared" si="0"/>
        <v>39</v>
      </c>
    </row>
    <row r="5" spans="1:9" ht="19.5" customHeight="1">
      <c r="A5" s="6">
        <v>4</v>
      </c>
      <c r="B5" s="46" t="s">
        <v>415</v>
      </c>
      <c r="C5" s="47" t="s">
        <v>69</v>
      </c>
      <c r="D5" s="146">
        <v>0</v>
      </c>
      <c r="E5" s="25">
        <v>4</v>
      </c>
      <c r="F5" s="210">
        <v>0</v>
      </c>
      <c r="G5" s="213">
        <v>0</v>
      </c>
      <c r="H5" s="241"/>
      <c r="I5" s="62">
        <f t="shared" si="0"/>
        <v>4</v>
      </c>
    </row>
    <row r="6" spans="1:9" ht="19.5" customHeight="1">
      <c r="A6" s="136">
        <v>5</v>
      </c>
      <c r="B6" s="46" t="s">
        <v>416</v>
      </c>
      <c r="C6" s="47" t="s">
        <v>78</v>
      </c>
      <c r="D6" s="146">
        <v>0</v>
      </c>
      <c r="E6" s="25">
        <v>0</v>
      </c>
      <c r="F6" s="210">
        <v>0</v>
      </c>
      <c r="G6" s="213">
        <v>9</v>
      </c>
      <c r="H6" s="241"/>
      <c r="I6" s="62">
        <f t="shared" si="0"/>
        <v>9</v>
      </c>
    </row>
    <row r="7" spans="1:9" ht="19.5" customHeight="1">
      <c r="A7" s="6">
        <v>6</v>
      </c>
      <c r="B7" s="46" t="s">
        <v>417</v>
      </c>
      <c r="C7" s="47" t="s">
        <v>54</v>
      </c>
      <c r="D7" s="146">
        <v>0</v>
      </c>
      <c r="E7" s="25">
        <v>0</v>
      </c>
      <c r="F7" s="210">
        <v>0</v>
      </c>
      <c r="G7" s="213">
        <v>0</v>
      </c>
      <c r="H7" s="241"/>
      <c r="I7" s="62">
        <f t="shared" si="0"/>
        <v>0</v>
      </c>
    </row>
    <row r="8" spans="1:9" ht="19.5" customHeight="1">
      <c r="A8" s="136">
        <v>7</v>
      </c>
      <c r="B8" s="46" t="s">
        <v>418</v>
      </c>
      <c r="C8" s="47" t="s">
        <v>78</v>
      </c>
      <c r="D8" s="146">
        <v>2</v>
      </c>
      <c r="E8" s="25">
        <v>10</v>
      </c>
      <c r="F8" s="210">
        <v>5</v>
      </c>
      <c r="G8" s="213">
        <v>23.5</v>
      </c>
      <c r="H8" s="241"/>
      <c r="I8" s="62">
        <f t="shared" si="0"/>
        <v>40.5</v>
      </c>
    </row>
    <row r="9" spans="1:9" ht="19.5" customHeight="1">
      <c r="A9" s="6">
        <v>8</v>
      </c>
      <c r="B9" s="36" t="s">
        <v>419</v>
      </c>
      <c r="C9" s="37" t="s">
        <v>71</v>
      </c>
      <c r="D9" s="146">
        <v>41</v>
      </c>
      <c r="E9" s="25">
        <v>9</v>
      </c>
      <c r="F9" s="210">
        <v>35</v>
      </c>
      <c r="G9" s="213">
        <v>53</v>
      </c>
      <c r="H9" s="241"/>
      <c r="I9" s="62">
        <f t="shared" si="0"/>
        <v>138</v>
      </c>
    </row>
    <row r="10" spans="1:9" ht="19.5" customHeight="1">
      <c r="A10" s="136">
        <v>9</v>
      </c>
      <c r="B10" s="36" t="s">
        <v>420</v>
      </c>
      <c r="C10" s="37" t="s">
        <v>58</v>
      </c>
      <c r="D10" s="146">
        <v>11</v>
      </c>
      <c r="E10" s="25">
        <v>0</v>
      </c>
      <c r="F10" s="210">
        <v>11</v>
      </c>
      <c r="G10" s="213">
        <v>15</v>
      </c>
      <c r="H10" s="241"/>
      <c r="I10" s="62">
        <f t="shared" si="0"/>
        <v>37</v>
      </c>
    </row>
    <row r="11" spans="1:9" ht="19.5" customHeight="1">
      <c r="A11" s="6">
        <v>10</v>
      </c>
      <c r="B11" s="36" t="s">
        <v>15</v>
      </c>
      <c r="C11" s="37" t="s">
        <v>72</v>
      </c>
      <c r="D11" s="146">
        <v>31</v>
      </c>
      <c r="E11" s="25">
        <f>11+25.5</f>
        <v>36.5</v>
      </c>
      <c r="F11" s="210">
        <v>14</v>
      </c>
      <c r="G11" s="213">
        <f>14+41</f>
        <v>55</v>
      </c>
      <c r="H11" s="241"/>
      <c r="I11" s="62">
        <f t="shared" si="0"/>
        <v>136.5</v>
      </c>
    </row>
    <row r="12" spans="1:9" ht="19.5" customHeight="1">
      <c r="A12" s="136">
        <v>11</v>
      </c>
      <c r="B12" s="36" t="s">
        <v>421</v>
      </c>
      <c r="C12" s="37" t="s">
        <v>73</v>
      </c>
      <c r="D12" s="146">
        <v>0</v>
      </c>
      <c r="E12" s="25">
        <v>12</v>
      </c>
      <c r="F12" s="210">
        <v>5</v>
      </c>
      <c r="G12" s="213">
        <v>4</v>
      </c>
      <c r="H12" s="241"/>
      <c r="I12" s="62">
        <f t="shared" si="0"/>
        <v>21</v>
      </c>
    </row>
    <row r="13" spans="1:9" ht="19.5" customHeight="1">
      <c r="A13" s="6">
        <v>12</v>
      </c>
      <c r="B13" s="36" t="s">
        <v>74</v>
      </c>
      <c r="C13" s="37" t="s">
        <v>30</v>
      </c>
      <c r="D13" s="146">
        <v>5</v>
      </c>
      <c r="E13" s="25">
        <v>3</v>
      </c>
      <c r="F13" s="210">
        <v>1.5</v>
      </c>
      <c r="G13" s="213">
        <v>0</v>
      </c>
      <c r="H13" s="241"/>
      <c r="I13" s="62">
        <f t="shared" si="0"/>
        <v>9.5</v>
      </c>
    </row>
    <row r="14" spans="1:9" ht="19.5" customHeight="1">
      <c r="A14" s="136">
        <v>13</v>
      </c>
      <c r="B14" s="36" t="s">
        <v>422</v>
      </c>
      <c r="C14" s="37" t="s">
        <v>423</v>
      </c>
      <c r="D14" s="146">
        <f>12+5.5</f>
        <v>17.5</v>
      </c>
      <c r="E14" s="25">
        <v>7</v>
      </c>
      <c r="F14" s="210">
        <v>34</v>
      </c>
      <c r="G14" s="213">
        <v>5</v>
      </c>
      <c r="H14" s="241"/>
      <c r="I14" s="62">
        <f t="shared" si="0"/>
        <v>63.5</v>
      </c>
    </row>
    <row r="15" spans="1:9" ht="19.5" customHeight="1">
      <c r="A15" s="6">
        <v>14</v>
      </c>
      <c r="B15" s="46" t="s">
        <v>82</v>
      </c>
      <c r="C15" s="47" t="s">
        <v>83</v>
      </c>
      <c r="D15" s="146">
        <v>70</v>
      </c>
      <c r="E15" s="25">
        <f>30</f>
        <v>30</v>
      </c>
      <c r="F15" s="210">
        <v>0</v>
      </c>
      <c r="G15" s="213">
        <v>0</v>
      </c>
      <c r="H15" s="247">
        <v>100</v>
      </c>
      <c r="I15" s="62">
        <f t="shared" si="0"/>
        <v>200</v>
      </c>
    </row>
    <row r="16" spans="1:9" ht="19.5" customHeight="1">
      <c r="A16" s="136">
        <v>15</v>
      </c>
      <c r="B16" s="46" t="s">
        <v>424</v>
      </c>
      <c r="C16" s="47" t="s">
        <v>425</v>
      </c>
      <c r="D16" s="146">
        <v>0</v>
      </c>
      <c r="E16" s="25">
        <v>0</v>
      </c>
      <c r="F16" s="210">
        <v>0</v>
      </c>
      <c r="G16" s="213">
        <v>0</v>
      </c>
      <c r="H16" s="241"/>
      <c r="I16" s="62">
        <f t="shared" si="0"/>
        <v>0</v>
      </c>
    </row>
    <row r="17" spans="1:9" ht="19.5" customHeight="1">
      <c r="A17" s="6">
        <v>16</v>
      </c>
      <c r="B17" s="36" t="s">
        <v>426</v>
      </c>
      <c r="C17" s="37" t="s">
        <v>40</v>
      </c>
      <c r="D17" s="146">
        <v>0</v>
      </c>
      <c r="E17" s="25">
        <v>0</v>
      </c>
      <c r="F17" s="210">
        <v>0</v>
      </c>
      <c r="G17" s="213">
        <v>0</v>
      </c>
      <c r="H17" s="241"/>
      <c r="I17" s="62">
        <f t="shared" si="0"/>
        <v>0</v>
      </c>
    </row>
    <row r="18" spans="1:9" ht="19.5" customHeight="1">
      <c r="A18" s="136">
        <v>17</v>
      </c>
      <c r="B18" s="36" t="s">
        <v>76</v>
      </c>
      <c r="C18" s="37" t="s">
        <v>65</v>
      </c>
      <c r="D18" s="146">
        <v>0</v>
      </c>
      <c r="E18" s="25">
        <v>0</v>
      </c>
      <c r="F18" s="210">
        <v>0</v>
      </c>
      <c r="G18" s="213">
        <v>0</v>
      </c>
      <c r="H18" s="241"/>
      <c r="I18" s="62">
        <f t="shared" si="0"/>
        <v>0</v>
      </c>
    </row>
    <row r="19" spans="1:9" ht="19.5" customHeight="1">
      <c r="A19" s="6">
        <v>18</v>
      </c>
      <c r="B19" s="46" t="s">
        <v>427</v>
      </c>
      <c r="C19" s="47" t="s">
        <v>69</v>
      </c>
      <c r="D19" s="146">
        <v>0</v>
      </c>
      <c r="E19" s="25">
        <v>0</v>
      </c>
      <c r="F19" s="210">
        <v>0</v>
      </c>
      <c r="G19" s="213">
        <v>0</v>
      </c>
      <c r="H19" s="241"/>
      <c r="I19" s="62">
        <f t="shared" si="0"/>
        <v>0</v>
      </c>
    </row>
    <row r="20" spans="1:9" ht="19.5" customHeight="1">
      <c r="A20" s="136">
        <v>19</v>
      </c>
      <c r="B20" s="46" t="s">
        <v>428</v>
      </c>
      <c r="C20" s="47" t="s">
        <v>87</v>
      </c>
      <c r="D20" s="146">
        <v>10</v>
      </c>
      <c r="E20" s="25">
        <v>0</v>
      </c>
      <c r="F20" s="210">
        <v>0</v>
      </c>
      <c r="G20" s="213">
        <v>160</v>
      </c>
      <c r="H20" s="241"/>
      <c r="I20" s="62">
        <f t="shared" si="0"/>
        <v>170</v>
      </c>
    </row>
    <row r="21" spans="1:9" ht="19.5" customHeight="1">
      <c r="A21" s="6">
        <v>20</v>
      </c>
      <c r="B21" s="36" t="s">
        <v>429</v>
      </c>
      <c r="C21" s="37" t="s">
        <v>78</v>
      </c>
      <c r="D21" s="146">
        <v>48</v>
      </c>
      <c r="E21" s="25">
        <v>0</v>
      </c>
      <c r="F21" s="210">
        <f>78</f>
        <v>78</v>
      </c>
      <c r="G21" s="213">
        <v>57</v>
      </c>
      <c r="H21" s="241"/>
      <c r="I21" s="62">
        <f t="shared" si="0"/>
        <v>183</v>
      </c>
    </row>
    <row r="22" spans="1:9" ht="19.5" customHeight="1">
      <c r="A22" s="136">
        <v>21</v>
      </c>
      <c r="B22" s="36" t="s">
        <v>430</v>
      </c>
      <c r="C22" s="37" t="s">
        <v>79</v>
      </c>
      <c r="D22" s="147">
        <v>2</v>
      </c>
      <c r="E22" s="166">
        <v>35</v>
      </c>
      <c r="F22" s="211">
        <v>3</v>
      </c>
      <c r="G22" s="214">
        <v>43</v>
      </c>
      <c r="H22" s="242"/>
      <c r="I22" s="62">
        <f t="shared" si="0"/>
        <v>83</v>
      </c>
    </row>
    <row r="23" spans="1:9" ht="19.5" customHeight="1" thickBot="1">
      <c r="A23" s="7">
        <v>22</v>
      </c>
      <c r="B23" s="38" t="s">
        <v>431</v>
      </c>
      <c r="C23" s="39" t="s">
        <v>54</v>
      </c>
      <c r="D23" s="148">
        <v>700</v>
      </c>
      <c r="E23" s="26">
        <v>19</v>
      </c>
      <c r="F23" s="192">
        <v>700</v>
      </c>
      <c r="G23" s="215">
        <v>0</v>
      </c>
      <c r="H23" s="243"/>
      <c r="I23" s="63">
        <f t="shared" si="0"/>
        <v>1419</v>
      </c>
    </row>
    <row r="24" spans="1:9" s="64" customFormat="1" ht="15.75">
      <c r="A24" s="72"/>
      <c r="B24" s="68" t="s">
        <v>347</v>
      </c>
      <c r="D24" s="65">
        <v>24.5</v>
      </c>
      <c r="E24" s="67"/>
      <c r="F24" s="69"/>
      <c r="G24" s="65">
        <v>11</v>
      </c>
      <c r="H24" s="69"/>
      <c r="I24" s="65">
        <f>SUM(D24:H24)</f>
        <v>35.5</v>
      </c>
    </row>
    <row r="25" spans="4:8" ht="15.75" thickBot="1">
      <c r="D25" s="15"/>
      <c r="E25" s="21"/>
      <c r="F25" s="189"/>
      <c r="G25" s="189" t="s">
        <v>466</v>
      </c>
      <c r="H25" s="189" t="s">
        <v>467</v>
      </c>
    </row>
    <row r="26" spans="1:10" s="23" customFormat="1" ht="16.5" thickBot="1">
      <c r="A26" s="22"/>
      <c r="B26" s="78" t="s">
        <v>263</v>
      </c>
      <c r="D26" s="193">
        <f>SUM(D2:D25)</f>
        <v>1145</v>
      </c>
      <c r="E26" s="196">
        <f>SUM(E2:E25)</f>
        <v>176</v>
      </c>
      <c r="F26" s="195">
        <f>SUM(F2:F23)</f>
        <v>907.5</v>
      </c>
      <c r="G26" s="259">
        <f>SUM(G2:H24)</f>
        <v>546</v>
      </c>
      <c r="H26" s="260"/>
      <c r="I26" s="77">
        <f>SUM(I2:I25)</f>
        <v>2774.5</v>
      </c>
      <c r="J26" s="176"/>
    </row>
    <row r="27" ht="12.75">
      <c r="E27" s="13"/>
    </row>
  </sheetData>
  <mergeCells count="2">
    <mergeCell ref="G1:H1"/>
    <mergeCell ref="G26:H26"/>
  </mergeCells>
  <printOptions/>
  <pageMargins left="0.75" right="0.75" top="1" bottom="1" header="0.4921259845" footer="0.4921259845"/>
  <pageSetup fitToHeight="1" fitToWidth="1" horizontalDpi="300" verticalDpi="300" orientation="landscape" paperSize="9" scale="91" r:id="rId1"/>
  <headerFooter alignWithMargins="0">
    <oddHeader>&amp;C&amp;"Arial,Tučné"&amp;16Sběr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2010-05-24T09:24:55Z</cp:lastPrinted>
  <dcterms:created xsi:type="dcterms:W3CDTF">1997-01-24T11:07:25Z</dcterms:created>
  <dcterms:modified xsi:type="dcterms:W3CDTF">2010-05-24T09:41:06Z</dcterms:modified>
  <cp:category/>
  <cp:version/>
  <cp:contentType/>
  <cp:contentStatus/>
</cp:coreProperties>
</file>