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17"/>
  </bookViews>
  <sheets>
    <sheet name="I.A" sheetId="1" r:id="rId1"/>
    <sheet name="I.B" sheetId="2" r:id="rId2"/>
    <sheet name="II.A" sheetId="3" r:id="rId3"/>
    <sheet name="II.B" sheetId="4" r:id="rId4"/>
    <sheet name="III.A" sheetId="5" r:id="rId5"/>
    <sheet name="III.B" sheetId="6" r:id="rId6"/>
    <sheet name="IV.A" sheetId="7" r:id="rId7"/>
    <sheet name="IV.B" sheetId="8" r:id="rId8"/>
    <sheet name="V.A" sheetId="9" r:id="rId9"/>
    <sheet name="VI.A" sheetId="10" r:id="rId10"/>
    <sheet name="VI.B" sheetId="11" r:id="rId11"/>
    <sheet name="VII.A" sheetId="12" r:id="rId12"/>
    <sheet name="VII.B" sheetId="13" r:id="rId13"/>
    <sheet name="VIII.A" sheetId="14" r:id="rId14"/>
    <sheet name="VIII.B" sheetId="15" r:id="rId15"/>
    <sheet name="IX.A" sheetId="16" r:id="rId16"/>
    <sheet name="IX.B" sheetId="17" r:id="rId17"/>
    <sheet name="jednotlivci" sheetId="18" r:id="rId18"/>
  </sheets>
  <definedNames>
    <definedName name="Z_6342C758_A72A_4266_AD46_B85FAE220573_.wvu.FilterData" localSheetId="17" hidden="1">'jednotlivci'!$E$21:$E$42</definedName>
    <definedName name="Z_6342C758_A72A_4266_AD46_B85FAE220573_.wvu.PrintArea" localSheetId="17" hidden="1">'jednotlivci'!$B$1:$E$49</definedName>
  </definedNames>
  <calcPr fullCalcOnLoad="1"/>
</workbook>
</file>

<file path=xl/sharedStrings.xml><?xml version="1.0" encoding="utf-8"?>
<sst xmlns="http://schemas.openxmlformats.org/spreadsheetml/2006/main" count="2039" uniqueCount="465">
  <si>
    <t>1.A</t>
  </si>
  <si>
    <t>Blinková</t>
  </si>
  <si>
    <t>Simona</t>
  </si>
  <si>
    <t>Dostrašil</t>
  </si>
  <si>
    <t>David</t>
  </si>
  <si>
    <t>Folbergerová</t>
  </si>
  <si>
    <t>Helena</t>
  </si>
  <si>
    <t>Miroslav</t>
  </si>
  <si>
    <t>Holec</t>
  </si>
  <si>
    <t>Lukáš</t>
  </si>
  <si>
    <t>Hrdinová</t>
  </si>
  <si>
    <t>Magdaléna</t>
  </si>
  <si>
    <t>Hulčíková</t>
  </si>
  <si>
    <t>Karolína</t>
  </si>
  <si>
    <t>Chráska</t>
  </si>
  <si>
    <t>Marek</t>
  </si>
  <si>
    <t>Kolářová</t>
  </si>
  <si>
    <t>Tereza</t>
  </si>
  <si>
    <t>Korecká</t>
  </si>
  <si>
    <t>Markéta</t>
  </si>
  <si>
    <t>Körner</t>
  </si>
  <si>
    <t>Jaroslav</t>
  </si>
  <si>
    <t>Králová</t>
  </si>
  <si>
    <t>Lenka</t>
  </si>
  <si>
    <t>Tomáš</t>
  </si>
  <si>
    <t>Pohanková</t>
  </si>
  <si>
    <t>Petra</t>
  </si>
  <si>
    <t>Procházková</t>
  </si>
  <si>
    <t>Bára</t>
  </si>
  <si>
    <t>Stibor</t>
  </si>
  <si>
    <t>Jindřich</t>
  </si>
  <si>
    <t>Jan</t>
  </si>
  <si>
    <t>Švec</t>
  </si>
  <si>
    <t>Filip</t>
  </si>
  <si>
    <t>Zemanová</t>
  </si>
  <si>
    <t>Adéla</t>
  </si>
  <si>
    <t>Žák</t>
  </si>
  <si>
    <t>1.B</t>
  </si>
  <si>
    <t>Černá</t>
  </si>
  <si>
    <t>Fantíková</t>
  </si>
  <si>
    <t>Janďura</t>
  </si>
  <si>
    <t>Jakub</t>
  </si>
  <si>
    <t>Kesner</t>
  </si>
  <si>
    <t>Kimmerová</t>
  </si>
  <si>
    <t>Nikola</t>
  </si>
  <si>
    <t>Kipor</t>
  </si>
  <si>
    <t>Patrik</t>
  </si>
  <si>
    <t>Kosák</t>
  </si>
  <si>
    <t>Jiří</t>
  </si>
  <si>
    <t>Košek</t>
  </si>
  <si>
    <t>Martin</t>
  </si>
  <si>
    <t>Ledvinková</t>
  </si>
  <si>
    <t>Patricie</t>
  </si>
  <si>
    <t>Dominika</t>
  </si>
  <si>
    <t>Nováková</t>
  </si>
  <si>
    <t>Klára</t>
  </si>
  <si>
    <t>Nuderová</t>
  </si>
  <si>
    <t>Kateřina</t>
  </si>
  <si>
    <t>Pavelka</t>
  </si>
  <si>
    <t>Matěj</t>
  </si>
  <si>
    <t>Plačková</t>
  </si>
  <si>
    <t>Anna</t>
  </si>
  <si>
    <t>Rezlerová</t>
  </si>
  <si>
    <t>Richtr</t>
  </si>
  <si>
    <t>Ondřej</t>
  </si>
  <si>
    <t>Řezáč</t>
  </si>
  <si>
    <t>Daniel</t>
  </si>
  <si>
    <t>Švecová</t>
  </si>
  <si>
    <t>Voháňka</t>
  </si>
  <si>
    <t>2.A</t>
  </si>
  <si>
    <t>Veronika</t>
  </si>
  <si>
    <t>Böhm</t>
  </si>
  <si>
    <t>Brabec</t>
  </si>
  <si>
    <t>Bucharová</t>
  </si>
  <si>
    <t>Csibová</t>
  </si>
  <si>
    <t>Černý</t>
  </si>
  <si>
    <t>Vojtěch</t>
  </si>
  <si>
    <t>Čeřovský</t>
  </si>
  <si>
    <t>Horáček</t>
  </si>
  <si>
    <t>Chlumová</t>
  </si>
  <si>
    <t>Sabina</t>
  </si>
  <si>
    <t>Kašpar</t>
  </si>
  <si>
    <t>Kolář</t>
  </si>
  <si>
    <t>Nikol</t>
  </si>
  <si>
    <t>Kratochvílová</t>
  </si>
  <si>
    <t>Kristýna</t>
  </si>
  <si>
    <t>Krupička</t>
  </si>
  <si>
    <t>Lizancová</t>
  </si>
  <si>
    <t>Pavlína</t>
  </si>
  <si>
    <t>Novotná</t>
  </si>
  <si>
    <t>Zuzana</t>
  </si>
  <si>
    <t>Olekšák</t>
  </si>
  <si>
    <t>Polák</t>
  </si>
  <si>
    <t>Poživil</t>
  </si>
  <si>
    <t>Raslová</t>
  </si>
  <si>
    <t>Petr</t>
  </si>
  <si>
    <t>Šmerdová</t>
  </si>
  <si>
    <t>Lucie</t>
  </si>
  <si>
    <t>Špetlíková</t>
  </si>
  <si>
    <t>Eva</t>
  </si>
  <si>
    <t>Toušová</t>
  </si>
  <si>
    <t>2.B</t>
  </si>
  <si>
    <t>Baranovský</t>
  </si>
  <si>
    <t>Bílková</t>
  </si>
  <si>
    <t>Bolech</t>
  </si>
  <si>
    <t>Drbohlavová</t>
  </si>
  <si>
    <t>Faltová</t>
  </si>
  <si>
    <t>Hanušová</t>
  </si>
  <si>
    <t>Hlavatá</t>
  </si>
  <si>
    <t>Hrabáková</t>
  </si>
  <si>
    <t>Barbora</t>
  </si>
  <si>
    <t>Kurtinová</t>
  </si>
  <si>
    <t>Lankaš</t>
  </si>
  <si>
    <t>Malina</t>
  </si>
  <si>
    <t>Vít</t>
  </si>
  <si>
    <t>Müller</t>
  </si>
  <si>
    <t>Pavel</t>
  </si>
  <si>
    <t>Plischková</t>
  </si>
  <si>
    <t>Martina</t>
  </si>
  <si>
    <t>Rabová</t>
  </si>
  <si>
    <t>Spěšný</t>
  </si>
  <si>
    <t>Dominik</t>
  </si>
  <si>
    <t>Vencová</t>
  </si>
  <si>
    <t>Vondráčková</t>
  </si>
  <si>
    <t>3.A</t>
  </si>
  <si>
    <t>Boboková</t>
  </si>
  <si>
    <t>Hájková</t>
  </si>
  <si>
    <t>Hana</t>
  </si>
  <si>
    <t>Hladíková</t>
  </si>
  <si>
    <t>Hoffmann</t>
  </si>
  <si>
    <t>Jaček</t>
  </si>
  <si>
    <t>Janečková</t>
  </si>
  <si>
    <t>Jana</t>
  </si>
  <si>
    <t>Kolín</t>
  </si>
  <si>
    <t>Král</t>
  </si>
  <si>
    <t>Adam</t>
  </si>
  <si>
    <t>Molnárová</t>
  </si>
  <si>
    <t>Michaela</t>
  </si>
  <si>
    <t>Nemčoková</t>
  </si>
  <si>
    <t>Novotný</t>
  </si>
  <si>
    <t>Pappová</t>
  </si>
  <si>
    <t>Alexandra</t>
  </si>
  <si>
    <t>Ramseidlová</t>
  </si>
  <si>
    <t>Dana</t>
  </si>
  <si>
    <t>Pavla</t>
  </si>
  <si>
    <t>Rečná</t>
  </si>
  <si>
    <t>Rysnerová</t>
  </si>
  <si>
    <t>Suchomel</t>
  </si>
  <si>
    <t>Šímová</t>
  </si>
  <si>
    <t>Trejbal</t>
  </si>
  <si>
    <t>Josef</t>
  </si>
  <si>
    <t>Vaníčková</t>
  </si>
  <si>
    <t>Žagan</t>
  </si>
  <si>
    <t>4.A</t>
  </si>
  <si>
    <t>Burešová</t>
  </si>
  <si>
    <t>Kamila</t>
  </si>
  <si>
    <t>Čermáková</t>
  </si>
  <si>
    <t>Gabriela</t>
  </si>
  <si>
    <t>Čeřovská</t>
  </si>
  <si>
    <t>Erhartová</t>
  </si>
  <si>
    <t>Eliška</t>
  </si>
  <si>
    <t>Fejt</t>
  </si>
  <si>
    <t>Frumarová</t>
  </si>
  <si>
    <t>Hlavsa</t>
  </si>
  <si>
    <t>Jakl</t>
  </si>
  <si>
    <t>František</t>
  </si>
  <si>
    <t>Kyrianová</t>
  </si>
  <si>
    <t>Lipšanová</t>
  </si>
  <si>
    <t>Malá</t>
  </si>
  <si>
    <t>Michal</t>
  </si>
  <si>
    <t>Plášil</t>
  </si>
  <si>
    <t>Skalský</t>
  </si>
  <si>
    <t>René</t>
  </si>
  <si>
    <t>Suchý</t>
  </si>
  <si>
    <t>Tadeáš</t>
  </si>
  <si>
    <t>Šimerová</t>
  </si>
  <si>
    <t>Šůla</t>
  </si>
  <si>
    <t>Vrabcová</t>
  </si>
  <si>
    <t>Denisa</t>
  </si>
  <si>
    <t>Borek</t>
  </si>
  <si>
    <t>Dědek</t>
  </si>
  <si>
    <t>Děkan</t>
  </si>
  <si>
    <t>Dimlová</t>
  </si>
  <si>
    <t>Romana</t>
  </si>
  <si>
    <t>Kumprecht</t>
  </si>
  <si>
    <t>Lehký</t>
  </si>
  <si>
    <t>Lissner</t>
  </si>
  <si>
    <t>Malinovská</t>
  </si>
  <si>
    <t>Pecháček</t>
  </si>
  <si>
    <t>Podešvová</t>
  </si>
  <si>
    <t>Rutšeková</t>
  </si>
  <si>
    <t>Salomon</t>
  </si>
  <si>
    <t>Šounová</t>
  </si>
  <si>
    <t>Vlastimil</t>
  </si>
  <si>
    <t>Vacková</t>
  </si>
  <si>
    <t>Vejnar</t>
  </si>
  <si>
    <t>Vrabec</t>
  </si>
  <si>
    <t>Milan</t>
  </si>
  <si>
    <t>Wolf</t>
  </si>
  <si>
    <t>Zelenková</t>
  </si>
  <si>
    <t>5.A</t>
  </si>
  <si>
    <t>Bahník</t>
  </si>
  <si>
    <t>Blažková</t>
  </si>
  <si>
    <t>Dostál</t>
  </si>
  <si>
    <t>Eppertová</t>
  </si>
  <si>
    <t>Flesner</t>
  </si>
  <si>
    <t>Hráský</t>
  </si>
  <si>
    <t>Robin</t>
  </si>
  <si>
    <t>Humburger</t>
  </si>
  <si>
    <t>Huňková</t>
  </si>
  <si>
    <t>Kofrová</t>
  </si>
  <si>
    <t>Kovář</t>
  </si>
  <si>
    <t>Václav</t>
  </si>
  <si>
    <t>Kučera</t>
  </si>
  <si>
    <t>NGUYEN  THI NGOC HUYEN</t>
  </si>
  <si>
    <t>Peterová</t>
  </si>
  <si>
    <t>Pikešová</t>
  </si>
  <si>
    <t>Pleskotová</t>
  </si>
  <si>
    <t>Pochová</t>
  </si>
  <si>
    <t>Skálová</t>
  </si>
  <si>
    <t>Tomsová</t>
  </si>
  <si>
    <t>Vladař</t>
  </si>
  <si>
    <t>Bičíková</t>
  </si>
  <si>
    <t>Burián</t>
  </si>
  <si>
    <t>Czichon</t>
  </si>
  <si>
    <t>Radek</t>
  </si>
  <si>
    <t>Demel</t>
  </si>
  <si>
    <t>Eliášová</t>
  </si>
  <si>
    <t>Galáč</t>
  </si>
  <si>
    <t>Gamba</t>
  </si>
  <si>
    <t>Helikarová</t>
  </si>
  <si>
    <t>Janďurová</t>
  </si>
  <si>
    <t>Ježková</t>
  </si>
  <si>
    <t>Jindrová</t>
  </si>
  <si>
    <t>Kaplová</t>
  </si>
  <si>
    <t>Kejzar</t>
  </si>
  <si>
    <t>Otakar</t>
  </si>
  <si>
    <t>Košková</t>
  </si>
  <si>
    <t>Novák</t>
  </si>
  <si>
    <t>Pavlíček</t>
  </si>
  <si>
    <t>Pavlů</t>
  </si>
  <si>
    <t>Posseltová</t>
  </si>
  <si>
    <t>Aneta</t>
  </si>
  <si>
    <t>Satrapa</t>
  </si>
  <si>
    <t>Slabý</t>
  </si>
  <si>
    <t>Aleš</t>
  </si>
  <si>
    <t>Trejbalová</t>
  </si>
  <si>
    <t>Věra</t>
  </si>
  <si>
    <t>6.A</t>
  </si>
  <si>
    <t>Bartoníček</t>
  </si>
  <si>
    <t>Bolechová</t>
  </si>
  <si>
    <t>Dědková</t>
  </si>
  <si>
    <t>Štěpánka</t>
  </si>
  <si>
    <t>Frumar</t>
  </si>
  <si>
    <t>Miloš</t>
  </si>
  <si>
    <t>Grolmusová</t>
  </si>
  <si>
    <t>Janíček</t>
  </si>
  <si>
    <t>Kolínský</t>
  </si>
  <si>
    <t>Luboš</t>
  </si>
  <si>
    <t>Křížová</t>
  </si>
  <si>
    <t>Andrea</t>
  </si>
  <si>
    <t>Kubelková</t>
  </si>
  <si>
    <t>Lagová</t>
  </si>
  <si>
    <t>Nicole</t>
  </si>
  <si>
    <t>Lánská</t>
  </si>
  <si>
    <t>Terezie</t>
  </si>
  <si>
    <t>Lichner</t>
  </si>
  <si>
    <t>Lukešová</t>
  </si>
  <si>
    <t>Michael</t>
  </si>
  <si>
    <t>Nalezinková</t>
  </si>
  <si>
    <t>Monika</t>
  </si>
  <si>
    <t>Prosová</t>
  </si>
  <si>
    <t>Remlová</t>
  </si>
  <si>
    <t>Řehka</t>
  </si>
  <si>
    <t>Šůlová</t>
  </si>
  <si>
    <t>Ivana</t>
  </si>
  <si>
    <t>Zajíc</t>
  </si>
  <si>
    <t>Zikmundová</t>
  </si>
  <si>
    <t>Zmatlíková</t>
  </si>
  <si>
    <t>6.B</t>
  </si>
  <si>
    <t>Adamová</t>
  </si>
  <si>
    <t>Bělík</t>
  </si>
  <si>
    <t>Harbich</t>
  </si>
  <si>
    <t>Hlavatý</t>
  </si>
  <si>
    <t>Hozák</t>
  </si>
  <si>
    <t>Richard</t>
  </si>
  <si>
    <t>Kahounová</t>
  </si>
  <si>
    <t>Kosina</t>
  </si>
  <si>
    <t>Koublová</t>
  </si>
  <si>
    <t>Krúpa</t>
  </si>
  <si>
    <t>Kubíková</t>
  </si>
  <si>
    <t>Maděrová</t>
  </si>
  <si>
    <t>Míka</t>
  </si>
  <si>
    <t>Petera</t>
  </si>
  <si>
    <t>Šebek</t>
  </si>
  <si>
    <t>Šilhán</t>
  </si>
  <si>
    <t>Vnoučková</t>
  </si>
  <si>
    <t>Volek</t>
  </si>
  <si>
    <t>Zelenka</t>
  </si>
  <si>
    <t>7.A</t>
  </si>
  <si>
    <t>Beckertová</t>
  </si>
  <si>
    <t>Blanár</t>
  </si>
  <si>
    <t>Haplová</t>
  </si>
  <si>
    <t>Kahl</t>
  </si>
  <si>
    <t>Matouš</t>
  </si>
  <si>
    <t>Knot</t>
  </si>
  <si>
    <t>Krejčová</t>
  </si>
  <si>
    <t>Matoušková</t>
  </si>
  <si>
    <t>Merta</t>
  </si>
  <si>
    <t>Antonín</t>
  </si>
  <si>
    <t>Pácha</t>
  </si>
  <si>
    <t>Plaček</t>
  </si>
  <si>
    <t>Polma</t>
  </si>
  <si>
    <t>Radovan</t>
  </si>
  <si>
    <t>Salaba</t>
  </si>
  <si>
    <t>Šenkyřík</t>
  </si>
  <si>
    <t>Šolta</t>
  </si>
  <si>
    <t>Urbanová</t>
  </si>
  <si>
    <t>Vavřina</t>
  </si>
  <si>
    <t>Radoslav</t>
  </si>
  <si>
    <t>7.B</t>
  </si>
  <si>
    <t>Bartáková</t>
  </si>
  <si>
    <t>Lea</t>
  </si>
  <si>
    <t>Blaschke</t>
  </si>
  <si>
    <t>Blažek</t>
  </si>
  <si>
    <t>Brindzák</t>
  </si>
  <si>
    <t>Dolenský</t>
  </si>
  <si>
    <t>Dománek</t>
  </si>
  <si>
    <t>Dušek</t>
  </si>
  <si>
    <t>Eppert</t>
  </si>
  <si>
    <t>Fejtová</t>
  </si>
  <si>
    <t>Chlumský</t>
  </si>
  <si>
    <t>Lankašová</t>
  </si>
  <si>
    <t>Žaneta</t>
  </si>
  <si>
    <t>Opalecká</t>
  </si>
  <si>
    <t>Sandra</t>
  </si>
  <si>
    <t>Palme</t>
  </si>
  <si>
    <t>Pařík-Stieber</t>
  </si>
  <si>
    <t>Kryštof</t>
  </si>
  <si>
    <t>Pecháčková</t>
  </si>
  <si>
    <t>Pilsová</t>
  </si>
  <si>
    <t>Poživilová</t>
  </si>
  <si>
    <t>Stehlík</t>
  </si>
  <si>
    <t>Šmejkal</t>
  </si>
  <si>
    <t>Voslař</t>
  </si>
  <si>
    <t>8.A</t>
  </si>
  <si>
    <t>8.B</t>
  </si>
  <si>
    <t>Bělina</t>
  </si>
  <si>
    <t>9.A</t>
  </si>
  <si>
    <t>9.B</t>
  </si>
  <si>
    <t>Příjmení</t>
  </si>
  <si>
    <t>Jméno</t>
  </si>
  <si>
    <t>Celkem:</t>
  </si>
  <si>
    <t>3.B</t>
  </si>
  <si>
    <t>Benešová</t>
  </si>
  <si>
    <t>Čupr</t>
  </si>
  <si>
    <t>Drapák</t>
  </si>
  <si>
    <t>Hajer</t>
  </si>
  <si>
    <t>Oskar</t>
  </si>
  <si>
    <t>Hoffmannová</t>
  </si>
  <si>
    <t>Holas</t>
  </si>
  <si>
    <t>Kellerová</t>
  </si>
  <si>
    <t>Thach</t>
  </si>
  <si>
    <t>Pavlíková</t>
  </si>
  <si>
    <t>Reml</t>
  </si>
  <si>
    <t>Svobodová</t>
  </si>
  <si>
    <t>Daniela</t>
  </si>
  <si>
    <t>Šmerda</t>
  </si>
  <si>
    <t>Tajčmanová</t>
  </si>
  <si>
    <t>Toráková</t>
  </si>
  <si>
    <t>Iveta</t>
  </si>
  <si>
    <t>Bělíková</t>
  </si>
  <si>
    <t>Doležal</t>
  </si>
  <si>
    <t>Oldřich</t>
  </si>
  <si>
    <t>Fiala</t>
  </si>
  <si>
    <t>Galáčová</t>
  </si>
  <si>
    <t>Hájek</t>
  </si>
  <si>
    <t>Kočí</t>
  </si>
  <si>
    <t>Langer</t>
  </si>
  <si>
    <t>Ljachová</t>
  </si>
  <si>
    <t>Nolová</t>
  </si>
  <si>
    <t>Pechová</t>
  </si>
  <si>
    <t>Přívozník</t>
  </si>
  <si>
    <t>Hastrdlo</t>
  </si>
  <si>
    <t>Řezníček</t>
  </si>
  <si>
    <t>Škvára</t>
  </si>
  <si>
    <t>Vítková</t>
  </si>
  <si>
    <t>Kubínová</t>
  </si>
  <si>
    <t>Natálie</t>
  </si>
  <si>
    <t>Podhájecká</t>
  </si>
  <si>
    <t>Habr</t>
  </si>
  <si>
    <t>Bocheňský</t>
  </si>
  <si>
    <t>Jonáš</t>
  </si>
  <si>
    <t>Picková</t>
  </si>
  <si>
    <t>Miluše</t>
  </si>
  <si>
    <t>Salačová</t>
  </si>
  <si>
    <t>Ventruba</t>
  </si>
  <si>
    <t>Nguyen Ngoc</t>
  </si>
  <si>
    <t xml:space="preserve"> </t>
  </si>
  <si>
    <t>Scheib</t>
  </si>
  <si>
    <t>celkem:</t>
  </si>
  <si>
    <t>Šustr</t>
  </si>
  <si>
    <t>4.B</t>
  </si>
  <si>
    <t>18.9.</t>
  </si>
  <si>
    <t>Čížek</t>
  </si>
  <si>
    <t>Drienová</t>
  </si>
  <si>
    <t>Dubská</t>
  </si>
  <si>
    <t>Foltánová</t>
  </si>
  <si>
    <t>Renée</t>
  </si>
  <si>
    <t>Klemša</t>
  </si>
  <si>
    <t>Zdeněk</t>
  </si>
  <si>
    <t>Kloz</t>
  </si>
  <si>
    <t>Konečný</t>
  </si>
  <si>
    <t>Podrábská</t>
  </si>
  <si>
    <t>Marie</t>
  </si>
  <si>
    <t>Rasl</t>
  </si>
  <si>
    <t>Vítězslav</t>
  </si>
  <si>
    <t>Riegrová</t>
  </si>
  <si>
    <t>Starý</t>
  </si>
  <si>
    <t>Štangler</t>
  </si>
  <si>
    <t>Vaňoučková</t>
  </si>
  <si>
    <t>Vejvarová</t>
  </si>
  <si>
    <t>Zeman</t>
  </si>
  <si>
    <t>Doubková</t>
  </si>
  <si>
    <t>Nicol</t>
  </si>
  <si>
    <t>Firman</t>
  </si>
  <si>
    <t>Kasan</t>
  </si>
  <si>
    <t>Knajbl</t>
  </si>
  <si>
    <t>Kropáček</t>
  </si>
  <si>
    <t>Kurillová</t>
  </si>
  <si>
    <t>Ljach</t>
  </si>
  <si>
    <t>Mádle</t>
  </si>
  <si>
    <t>Raška</t>
  </si>
  <si>
    <t>Sasková</t>
  </si>
  <si>
    <t>Stříž</t>
  </si>
  <si>
    <t>Šálková</t>
  </si>
  <si>
    <t>Šubrtová</t>
  </si>
  <si>
    <t>Tomášek</t>
  </si>
  <si>
    <t>Žižková</t>
  </si>
  <si>
    <t>Beneš</t>
  </si>
  <si>
    <t>Malinovský</t>
  </si>
  <si>
    <t>Jaroš</t>
  </si>
  <si>
    <t>Valentýna</t>
  </si>
  <si>
    <t>Staněk</t>
  </si>
  <si>
    <t>Ngo Dinh</t>
  </si>
  <si>
    <t>Viet Hung</t>
  </si>
  <si>
    <t>Matuský</t>
  </si>
  <si>
    <t>Štěpán</t>
  </si>
  <si>
    <t>Ryšánková</t>
  </si>
  <si>
    <t>Žlůva</t>
  </si>
  <si>
    <t xml:space="preserve">Malý </t>
  </si>
  <si>
    <t>Tř.</t>
  </si>
  <si>
    <t>Společné</t>
  </si>
  <si>
    <t xml:space="preserve">Kastnerová </t>
  </si>
  <si>
    <t>Medžidová</t>
  </si>
  <si>
    <t>Mariam</t>
  </si>
  <si>
    <t>Šádek</t>
  </si>
  <si>
    <t>Čechtický</t>
  </si>
  <si>
    <t>25.11.</t>
  </si>
  <si>
    <t>x</t>
  </si>
  <si>
    <t>Poř.</t>
  </si>
  <si>
    <t>19.3.</t>
  </si>
  <si>
    <t xml:space="preserve">Nguenová </t>
  </si>
  <si>
    <t>Thi Ngoc Huyen</t>
  </si>
  <si>
    <t>19.5.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</si>
</sst>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</numFmts>
  <fonts count="21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2"/>
      <color indexed="9"/>
      <name val="Arial CE"/>
      <family val="0"/>
    </font>
    <font>
      <b/>
      <sz val="12"/>
      <color indexed="8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CE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/>
    </xf>
    <xf numFmtId="182" fontId="2" fillId="0" borderId="17" xfId="0" applyNumberFormat="1" applyFont="1" applyBorder="1" applyAlignment="1">
      <alignment/>
    </xf>
    <xf numFmtId="182" fontId="2" fillId="0" borderId="19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5" fillId="0" borderId="20" xfId="0" applyFont="1" applyBorder="1" applyAlignment="1">
      <alignment horizontal="left"/>
    </xf>
    <xf numFmtId="180" fontId="2" fillId="0" borderId="15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80" fontId="13" fillId="0" borderId="0" xfId="0" applyNumberFormat="1" applyFont="1" applyAlignment="1">
      <alignment/>
    </xf>
    <xf numFmtId="180" fontId="13" fillId="0" borderId="0" xfId="0" applyNumberFormat="1" applyFont="1" applyBorder="1" applyAlignment="1">
      <alignment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80" fontId="2" fillId="0" borderId="31" xfId="0" applyNumberFormat="1" applyFont="1" applyBorder="1" applyAlignment="1">
      <alignment horizontal="center"/>
    </xf>
    <xf numFmtId="180" fontId="2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0" fillId="0" borderId="22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2" fillId="0" borderId="35" xfId="0" applyFont="1" applyBorder="1" applyAlignment="1">
      <alignment/>
    </xf>
    <xf numFmtId="0" fontId="10" fillId="0" borderId="36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24" xfId="0" applyFont="1" applyFill="1" applyBorder="1" applyAlignment="1">
      <alignment horizontal="left" wrapText="1"/>
    </xf>
    <xf numFmtId="0" fontId="4" fillId="0" borderId="33" xfId="0" applyFont="1" applyBorder="1" applyAlignment="1">
      <alignment horizontal="center"/>
    </xf>
    <xf numFmtId="182" fontId="2" fillId="0" borderId="32" xfId="0" applyNumberFormat="1" applyFont="1" applyBorder="1" applyAlignment="1">
      <alignment/>
    </xf>
    <xf numFmtId="0" fontId="4" fillId="0" borderId="42" xfId="0" applyFont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2" fillId="0" borderId="2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80" fontId="14" fillId="0" borderId="5" xfId="0" applyNumberFormat="1" applyFont="1" applyBorder="1" applyAlignment="1">
      <alignment horizontal="center"/>
    </xf>
    <xf numFmtId="180" fontId="14" fillId="0" borderId="6" xfId="0" applyNumberFormat="1" applyFont="1" applyBorder="1" applyAlignment="1">
      <alignment horizontal="center"/>
    </xf>
    <xf numFmtId="180" fontId="14" fillId="0" borderId="7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18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82" fontId="7" fillId="0" borderId="0" xfId="0" applyNumberFormat="1" applyFont="1" applyAlignment="1">
      <alignment/>
    </xf>
    <xf numFmtId="180" fontId="1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0" fontId="5" fillId="3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center" wrapText="1"/>
    </xf>
    <xf numFmtId="180" fontId="14" fillId="0" borderId="6" xfId="0" applyNumberFormat="1" applyFont="1" applyFill="1" applyBorder="1" applyAlignment="1">
      <alignment horizontal="center" wrapText="1"/>
    </xf>
    <xf numFmtId="180" fontId="14" fillId="0" borderId="7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46" xfId="0" applyFont="1" applyFill="1" applyBorder="1" applyAlignment="1">
      <alignment horizontal="left"/>
    </xf>
    <xf numFmtId="180" fontId="2" fillId="0" borderId="45" xfId="0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180" fontId="2" fillId="0" borderId="13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80" fontId="2" fillId="0" borderId="9" xfId="0" applyNumberFormat="1" applyFont="1" applyFill="1" applyBorder="1" applyAlignment="1">
      <alignment horizontal="center"/>
    </xf>
    <xf numFmtId="180" fontId="16" fillId="0" borderId="0" xfId="0" applyNumberFormat="1" applyFont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80" fontId="14" fillId="0" borderId="45" xfId="0" applyNumberFormat="1" applyFont="1" applyBorder="1" applyAlignment="1" applyProtection="1">
      <alignment horizontal="center"/>
      <protection hidden="1"/>
    </xf>
    <xf numFmtId="180" fontId="14" fillId="0" borderId="6" xfId="0" applyNumberFormat="1" applyFont="1" applyBorder="1" applyAlignment="1" applyProtection="1">
      <alignment horizontal="center"/>
      <protection hidden="1"/>
    </xf>
    <xf numFmtId="180" fontId="14" fillId="0" borderId="7" xfId="0" applyNumberFormat="1" applyFont="1" applyBorder="1" applyAlignment="1" applyProtection="1">
      <alignment horizontal="center"/>
      <protection hidden="1"/>
    </xf>
    <xf numFmtId="180" fontId="14" fillId="0" borderId="5" xfId="0" applyNumberFormat="1" applyFont="1" applyBorder="1" applyAlignment="1" applyProtection="1">
      <alignment horizontal="center"/>
      <protection locked="0"/>
    </xf>
    <xf numFmtId="180" fontId="14" fillId="0" borderId="6" xfId="0" applyNumberFormat="1" applyFont="1" applyBorder="1" applyAlignment="1" applyProtection="1">
      <alignment horizontal="center"/>
      <protection locked="0"/>
    </xf>
    <xf numFmtId="180" fontId="14" fillId="0" borderId="7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180" fontId="2" fillId="0" borderId="17" xfId="0" applyNumberFormat="1" applyFont="1" applyFill="1" applyBorder="1" applyAlignment="1">
      <alignment horizontal="center"/>
    </xf>
    <xf numFmtId="180" fontId="16" fillId="0" borderId="17" xfId="0" applyNumberFormat="1" applyFont="1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180" fontId="18" fillId="0" borderId="0" xfId="0" applyNumberFormat="1" applyFont="1" applyAlignment="1">
      <alignment horizontal="center"/>
    </xf>
    <xf numFmtId="180" fontId="16" fillId="0" borderId="18" xfId="0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0" fontId="19" fillId="4" borderId="4" xfId="0" applyFont="1" applyFill="1" applyBorder="1" applyAlignment="1">
      <alignment horizontal="center"/>
    </xf>
    <xf numFmtId="180" fontId="2" fillId="0" borderId="48" xfId="0" applyNumberFormat="1" applyFont="1" applyBorder="1" applyAlignment="1">
      <alignment horizontal="center"/>
    </xf>
    <xf numFmtId="180" fontId="2" fillId="0" borderId="49" xfId="0" applyNumberFormat="1" applyFont="1" applyBorder="1" applyAlignment="1">
      <alignment horizontal="center"/>
    </xf>
    <xf numFmtId="180" fontId="2" fillId="0" borderId="50" xfId="0" applyNumberFormat="1" applyFont="1" applyBorder="1" applyAlignment="1">
      <alignment horizontal="center"/>
    </xf>
    <xf numFmtId="180" fontId="16" fillId="0" borderId="49" xfId="0" applyNumberFormat="1" applyFont="1" applyBorder="1" applyAlignment="1">
      <alignment horizontal="center"/>
    </xf>
    <xf numFmtId="180" fontId="16" fillId="0" borderId="51" xfId="0" applyNumberFormat="1" applyFont="1" applyBorder="1" applyAlignment="1">
      <alignment horizontal="center"/>
    </xf>
    <xf numFmtId="2" fontId="0" fillId="0" borderId="0" xfId="0" applyNumberFormat="1" applyAlignment="1">
      <alignment horizontal="left" indent="1"/>
    </xf>
    <xf numFmtId="180" fontId="2" fillId="0" borderId="51" xfId="0" applyNumberFormat="1" applyFont="1" applyBorder="1" applyAlignment="1">
      <alignment horizontal="center"/>
    </xf>
    <xf numFmtId="180" fontId="2" fillId="0" borderId="52" xfId="0" applyNumberFormat="1" applyFont="1" applyBorder="1" applyAlignment="1">
      <alignment horizontal="center"/>
    </xf>
    <xf numFmtId="180" fontId="16" fillId="0" borderId="16" xfId="0" applyNumberFormat="1" applyFont="1" applyBorder="1" applyAlignment="1">
      <alignment horizontal="center"/>
    </xf>
    <xf numFmtId="180" fontId="16" fillId="0" borderId="48" xfId="0" applyNumberFormat="1" applyFont="1" applyBorder="1" applyAlignment="1">
      <alignment horizontal="center"/>
    </xf>
    <xf numFmtId="180" fontId="16" fillId="0" borderId="53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182" fontId="2" fillId="0" borderId="48" xfId="0" applyNumberFormat="1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2" fontId="2" fillId="0" borderId="49" xfId="0" applyNumberFormat="1" applyFont="1" applyBorder="1" applyAlignment="1">
      <alignment horizontal="center"/>
    </xf>
    <xf numFmtId="182" fontId="16" fillId="0" borderId="49" xfId="0" applyNumberFormat="1" applyFont="1" applyBorder="1" applyAlignment="1">
      <alignment horizontal="center"/>
    </xf>
    <xf numFmtId="182" fontId="16" fillId="0" borderId="17" xfId="0" applyNumberFormat="1" applyFont="1" applyBorder="1" applyAlignment="1">
      <alignment horizontal="center"/>
    </xf>
    <xf numFmtId="182" fontId="2" fillId="0" borderId="19" xfId="0" applyNumberFormat="1" applyFont="1" applyBorder="1" applyAlignment="1">
      <alignment horizontal="center"/>
    </xf>
    <xf numFmtId="182" fontId="2" fillId="0" borderId="52" xfId="0" applyNumberFormat="1" applyFont="1" applyBorder="1" applyAlignment="1">
      <alignment horizontal="center"/>
    </xf>
    <xf numFmtId="182" fontId="16" fillId="0" borderId="19" xfId="0" applyNumberFormat="1" applyFont="1" applyBorder="1" applyAlignment="1">
      <alignment horizontal="center"/>
    </xf>
    <xf numFmtId="182" fontId="16" fillId="0" borderId="32" xfId="0" applyNumberFormat="1" applyFont="1" applyBorder="1" applyAlignment="1">
      <alignment horizontal="center"/>
    </xf>
    <xf numFmtId="182" fontId="16" fillId="0" borderId="53" xfId="0" applyNumberFormat="1" applyFont="1" applyBorder="1" applyAlignment="1">
      <alignment horizontal="center"/>
    </xf>
    <xf numFmtId="182" fontId="16" fillId="0" borderId="0" xfId="0" applyNumberFormat="1" applyFont="1" applyAlignment="1">
      <alignment horizontal="center"/>
    </xf>
    <xf numFmtId="182" fontId="7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80" fontId="2" fillId="0" borderId="49" xfId="0" applyNumberFormat="1" applyFont="1" applyFill="1" applyBorder="1" applyAlignment="1">
      <alignment horizontal="center"/>
    </xf>
    <xf numFmtId="180" fontId="2" fillId="5" borderId="48" xfId="0" applyNumberFormat="1" applyFont="1" applyFill="1" applyBorder="1" applyAlignment="1">
      <alignment horizontal="center"/>
    </xf>
    <xf numFmtId="182" fontId="2" fillId="0" borderId="49" xfId="0" applyNumberFormat="1" applyFont="1" applyFill="1" applyBorder="1" applyAlignment="1">
      <alignment horizontal="center"/>
    </xf>
    <xf numFmtId="180" fontId="2" fillId="0" borderId="45" xfId="0" applyNumberFormat="1" applyFont="1" applyBorder="1" applyAlignment="1" applyProtection="1">
      <alignment horizontal="center"/>
      <protection locked="0"/>
    </xf>
    <xf numFmtId="180" fontId="2" fillId="0" borderId="6" xfId="0" applyNumberFormat="1" applyFont="1" applyBorder="1" applyAlignment="1" applyProtection="1">
      <alignment horizontal="center"/>
      <protection locked="0"/>
    </xf>
    <xf numFmtId="180" fontId="2" fillId="0" borderId="6" xfId="0" applyNumberFormat="1" applyFont="1" applyBorder="1" applyAlignment="1" applyProtection="1">
      <alignment horizontal="center"/>
      <protection locked="0"/>
    </xf>
    <xf numFmtId="180" fontId="2" fillId="0" borderId="45" xfId="0" applyNumberFormat="1" applyFont="1" applyBorder="1" applyAlignment="1" applyProtection="1">
      <alignment horizontal="center"/>
      <protection locked="0"/>
    </xf>
    <xf numFmtId="180" fontId="2" fillId="0" borderId="54" xfId="0" applyNumberFormat="1" applyFont="1" applyFill="1" applyBorder="1" applyAlignment="1" applyProtection="1">
      <alignment horizontal="center"/>
      <protection locked="0"/>
    </xf>
    <xf numFmtId="180" fontId="2" fillId="0" borderId="54" xfId="0" applyNumberFormat="1" applyFont="1" applyBorder="1" applyAlignment="1" applyProtection="1">
      <alignment horizontal="center"/>
      <protection locked="0"/>
    </xf>
    <xf numFmtId="180" fontId="2" fillId="0" borderId="55" xfId="0" applyNumberFormat="1" applyFont="1" applyBorder="1" applyAlignment="1" applyProtection="1">
      <alignment horizontal="center"/>
      <protection locked="0"/>
    </xf>
    <xf numFmtId="180" fontId="2" fillId="0" borderId="56" xfId="0" applyNumberFormat="1" applyFont="1" applyBorder="1" applyAlignment="1" applyProtection="1">
      <alignment horizontal="center"/>
      <protection locked="0"/>
    </xf>
    <xf numFmtId="180" fontId="2" fillId="0" borderId="54" xfId="0" applyNumberFormat="1" applyFont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left"/>
      <protection locked="0"/>
    </xf>
    <xf numFmtId="0" fontId="2" fillId="0" borderId="46" xfId="0" applyFont="1" applyFill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left" wrapText="1"/>
      <protection locked="0"/>
    </xf>
    <xf numFmtId="0" fontId="2" fillId="0" borderId="25" xfId="0" applyFont="1" applyFill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 applyProtection="1">
      <alignment horizontal="left" wrapText="1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0" fillId="0" borderId="49" xfId="0" applyFont="1" applyFill="1" applyBorder="1" applyAlignment="1" applyProtection="1">
      <alignment horizontal="left"/>
      <protection locked="0"/>
    </xf>
    <xf numFmtId="0" fontId="2" fillId="0" borderId="49" xfId="0" applyFont="1" applyFill="1" applyBorder="1" applyAlignment="1" applyProtection="1">
      <alignment horizontal="left"/>
      <protection locked="0"/>
    </xf>
    <xf numFmtId="0" fontId="2" fillId="0" borderId="49" xfId="0" applyFont="1" applyFill="1" applyBorder="1" applyAlignment="1" applyProtection="1">
      <alignment horizontal="left" wrapText="1"/>
      <protection locked="0"/>
    </xf>
    <xf numFmtId="0" fontId="20" fillId="0" borderId="57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26" xfId="0" applyFont="1" applyFill="1" applyBorder="1" applyAlignment="1" applyProtection="1">
      <alignment horizontal="left"/>
      <protection locked="0"/>
    </xf>
    <xf numFmtId="0" fontId="20" fillId="0" borderId="27" xfId="0" applyFont="1" applyFill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left"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180" fontId="2" fillId="0" borderId="6" xfId="0" applyNumberFormat="1" applyFont="1" applyBorder="1" applyAlignment="1" applyProtection="1">
      <alignment horizontal="center"/>
      <protection hidden="1" locked="0"/>
    </xf>
    <xf numFmtId="180" fontId="2" fillId="0" borderId="56" xfId="0" applyNumberFormat="1" applyFont="1" applyBorder="1" applyAlignment="1" applyProtection="1">
      <alignment horizontal="center"/>
      <protection hidden="1" locked="0"/>
    </xf>
    <xf numFmtId="180" fontId="2" fillId="0" borderId="56" xfId="0" applyNumberFormat="1" applyFont="1" applyBorder="1" applyAlignment="1" applyProtection="1">
      <alignment horizontal="center"/>
      <protection locked="0"/>
    </xf>
    <xf numFmtId="0" fontId="20" fillId="0" borderId="43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58" xfId="0" applyFont="1" applyFill="1" applyBorder="1" applyAlignment="1" applyProtection="1">
      <alignment horizontal="left"/>
      <protection locked="0"/>
    </xf>
    <xf numFmtId="0" fontId="20" fillId="0" borderId="59" xfId="0" applyFont="1" applyFill="1" applyBorder="1" applyAlignment="1" applyProtection="1">
      <alignment horizontal="left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0" fillId="0" borderId="38" xfId="0" applyFont="1" applyFill="1" applyBorder="1" applyAlignment="1" applyProtection="1">
      <alignment horizontal="left"/>
      <protection locked="0"/>
    </xf>
    <xf numFmtId="0" fontId="20" fillId="0" borderId="39" xfId="0" applyFont="1" applyFill="1" applyBorder="1" applyAlignment="1" applyProtection="1">
      <alignment horizontal="left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0" fontId="2" fillId="0" borderId="39" xfId="0" applyFont="1" applyFill="1" applyBorder="1" applyAlignment="1" applyProtection="1">
      <alignment horizontal="left"/>
      <protection locked="0"/>
    </xf>
    <xf numFmtId="0" fontId="20" fillId="0" borderId="60" xfId="0" applyFont="1" applyFill="1" applyBorder="1" applyAlignment="1" applyProtection="1">
      <alignment horizontal="left"/>
      <protection locked="0"/>
    </xf>
    <xf numFmtId="0" fontId="20" fillId="0" borderId="61" xfId="0" applyFont="1" applyFill="1" applyBorder="1" applyAlignment="1" applyProtection="1">
      <alignment horizontal="left"/>
      <protection locked="0"/>
    </xf>
    <xf numFmtId="0" fontId="20" fillId="0" borderId="29" xfId="0" applyFont="1" applyFill="1" applyBorder="1" applyAlignment="1" applyProtection="1">
      <alignment horizontal="left"/>
      <protection locked="0"/>
    </xf>
    <xf numFmtId="0" fontId="20" fillId="0" borderId="56" xfId="0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left" wrapText="1"/>
      <protection locked="0"/>
    </xf>
    <xf numFmtId="0" fontId="20" fillId="0" borderId="24" xfId="0" applyFont="1" applyFill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workbookViewId="0" topLeftCell="A13">
      <selection activeCell="C43" sqref="C43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4" t="s">
        <v>0</v>
      </c>
      <c r="B1" s="5" t="s">
        <v>350</v>
      </c>
      <c r="C1" s="4" t="s">
        <v>351</v>
      </c>
      <c r="D1" s="93" t="s">
        <v>403</v>
      </c>
      <c r="E1" s="94" t="s">
        <v>458</v>
      </c>
      <c r="F1" s="148" t="s">
        <v>461</v>
      </c>
      <c r="G1" s="148" t="s">
        <v>464</v>
      </c>
      <c r="H1" s="140" t="s">
        <v>400</v>
      </c>
    </row>
    <row r="2" spans="1:8" ht="19.5" customHeight="1">
      <c r="A2" s="7">
        <v>1</v>
      </c>
      <c r="B2" s="131" t="s">
        <v>457</v>
      </c>
      <c r="C2" s="132" t="s">
        <v>4</v>
      </c>
      <c r="D2" s="141" t="s">
        <v>459</v>
      </c>
      <c r="E2" s="12">
        <v>0</v>
      </c>
      <c r="F2" s="40">
        <v>0</v>
      </c>
      <c r="G2" s="163">
        <v>11</v>
      </c>
      <c r="H2" s="142">
        <f>SUM(D2:G2)</f>
        <v>11</v>
      </c>
    </row>
    <row r="3" spans="1:8" ht="19.5" customHeight="1">
      <c r="A3" s="8">
        <v>2</v>
      </c>
      <c r="B3" s="128" t="s">
        <v>404</v>
      </c>
      <c r="C3" s="126" t="s">
        <v>24</v>
      </c>
      <c r="D3" s="127">
        <v>9</v>
      </c>
      <c r="E3" s="11">
        <v>10</v>
      </c>
      <c r="F3" s="31">
        <v>0</v>
      </c>
      <c r="G3" s="161">
        <v>31</v>
      </c>
      <c r="H3" s="142">
        <f>SUM(D3:G3)</f>
        <v>50</v>
      </c>
    </row>
    <row r="4" spans="1:8" ht="19.5" customHeight="1">
      <c r="A4" s="8">
        <v>3</v>
      </c>
      <c r="B4" s="129" t="s">
        <v>405</v>
      </c>
      <c r="C4" s="55" t="s">
        <v>23</v>
      </c>
      <c r="D4" s="42">
        <v>0</v>
      </c>
      <c r="E4" s="12">
        <v>1</v>
      </c>
      <c r="F4" s="32">
        <v>36</v>
      </c>
      <c r="G4" s="162">
        <f>44+10</f>
        <v>54</v>
      </c>
      <c r="H4" s="143">
        <f aca="true" t="shared" si="0" ref="H4:H22">SUM(D4:G4)</f>
        <v>91</v>
      </c>
    </row>
    <row r="5" spans="1:8" ht="19.5" customHeight="1">
      <c r="A5" s="8">
        <v>4</v>
      </c>
      <c r="B5" s="129" t="s">
        <v>406</v>
      </c>
      <c r="C5" s="55" t="s">
        <v>388</v>
      </c>
      <c r="D5" s="42">
        <v>25</v>
      </c>
      <c r="E5" s="12">
        <v>33</v>
      </c>
      <c r="F5" s="32">
        <v>19</v>
      </c>
      <c r="G5" s="162">
        <v>0</v>
      </c>
      <c r="H5" s="143">
        <f t="shared" si="0"/>
        <v>77</v>
      </c>
    </row>
    <row r="6" spans="1:8" ht="19.5" customHeight="1">
      <c r="A6" s="8">
        <v>5</v>
      </c>
      <c r="B6" s="129" t="s">
        <v>407</v>
      </c>
      <c r="C6" s="55" t="s">
        <v>408</v>
      </c>
      <c r="D6" s="42">
        <v>6</v>
      </c>
      <c r="E6" s="12">
        <v>14</v>
      </c>
      <c r="F6" s="32">
        <v>15</v>
      </c>
      <c r="G6" s="162">
        <v>23</v>
      </c>
      <c r="H6" s="143">
        <f t="shared" si="0"/>
        <v>58</v>
      </c>
    </row>
    <row r="7" spans="1:8" ht="19.5" customHeight="1">
      <c r="A7" s="8">
        <v>6</v>
      </c>
      <c r="B7" s="129" t="s">
        <v>453</v>
      </c>
      <c r="C7" s="55" t="s">
        <v>160</v>
      </c>
      <c r="D7" s="42">
        <v>0</v>
      </c>
      <c r="E7" s="12">
        <v>15</v>
      </c>
      <c r="F7" s="32">
        <v>0</v>
      </c>
      <c r="G7" s="162">
        <f>40+22</f>
        <v>62</v>
      </c>
      <c r="H7" s="143">
        <f t="shared" si="0"/>
        <v>77</v>
      </c>
    </row>
    <row r="8" spans="1:8" ht="19.5" customHeight="1">
      <c r="A8" s="8">
        <v>7</v>
      </c>
      <c r="B8" s="129" t="s">
        <v>409</v>
      </c>
      <c r="C8" s="55" t="s">
        <v>410</v>
      </c>
      <c r="D8" s="42">
        <v>0</v>
      </c>
      <c r="E8" s="12">
        <v>130</v>
      </c>
      <c r="F8" s="32">
        <v>160</v>
      </c>
      <c r="G8" s="164">
        <f>240+130+190+12+123</f>
        <v>695</v>
      </c>
      <c r="H8" s="143">
        <f t="shared" si="0"/>
        <v>985</v>
      </c>
    </row>
    <row r="9" spans="1:8" ht="19.5" customHeight="1">
      <c r="A9" s="8">
        <v>8</v>
      </c>
      <c r="B9" s="129" t="s">
        <v>411</v>
      </c>
      <c r="C9" s="55" t="s">
        <v>64</v>
      </c>
      <c r="D9" s="42">
        <v>0</v>
      </c>
      <c r="E9" s="12">
        <v>8</v>
      </c>
      <c r="F9" s="32">
        <v>0</v>
      </c>
      <c r="G9" s="162">
        <v>16</v>
      </c>
      <c r="H9" s="143">
        <f t="shared" si="0"/>
        <v>24</v>
      </c>
    </row>
    <row r="10" spans="1:8" ht="19.5" customHeight="1">
      <c r="A10" s="8">
        <v>9</v>
      </c>
      <c r="B10" s="129" t="s">
        <v>257</v>
      </c>
      <c r="C10" s="55" t="s">
        <v>59</v>
      </c>
      <c r="D10" s="42">
        <v>18</v>
      </c>
      <c r="E10" s="12">
        <v>5</v>
      </c>
      <c r="F10" s="32">
        <v>9</v>
      </c>
      <c r="G10" s="162">
        <v>13</v>
      </c>
      <c r="H10" s="143">
        <f t="shared" si="0"/>
        <v>45</v>
      </c>
    </row>
    <row r="11" spans="1:8" ht="19.5" customHeight="1">
      <c r="A11" s="8">
        <v>10</v>
      </c>
      <c r="B11" s="129" t="s">
        <v>412</v>
      </c>
      <c r="C11" s="55" t="s">
        <v>95</v>
      </c>
      <c r="D11" s="42">
        <v>0</v>
      </c>
      <c r="E11" s="12">
        <v>0</v>
      </c>
      <c r="F11" s="32">
        <v>0</v>
      </c>
      <c r="G11" s="162">
        <v>0</v>
      </c>
      <c r="H11" s="143">
        <f t="shared" si="0"/>
        <v>0</v>
      </c>
    </row>
    <row r="12" spans="1:8" ht="19.5" customHeight="1">
      <c r="A12" s="8">
        <v>11</v>
      </c>
      <c r="B12" s="129" t="s">
        <v>262</v>
      </c>
      <c r="C12" s="55" t="s">
        <v>157</v>
      </c>
      <c r="D12" s="42">
        <v>2</v>
      </c>
      <c r="E12" s="12">
        <v>8</v>
      </c>
      <c r="F12" s="32">
        <v>27</v>
      </c>
      <c r="G12" s="162">
        <v>7</v>
      </c>
      <c r="H12" s="143">
        <f t="shared" si="0"/>
        <v>44</v>
      </c>
    </row>
    <row r="13" spans="1:8" ht="19.5" customHeight="1">
      <c r="A13" s="8">
        <v>12</v>
      </c>
      <c r="B13" s="129" t="s">
        <v>413</v>
      </c>
      <c r="C13" s="55" t="s">
        <v>414</v>
      </c>
      <c r="D13" s="42">
        <v>0</v>
      </c>
      <c r="E13" s="12">
        <v>130</v>
      </c>
      <c r="F13" s="32">
        <v>160</v>
      </c>
      <c r="G13" s="164">
        <f>240+130+190+12+123</f>
        <v>695</v>
      </c>
      <c r="H13" s="143">
        <f t="shared" si="0"/>
        <v>985</v>
      </c>
    </row>
    <row r="14" spans="1:8" ht="19.5" customHeight="1">
      <c r="A14" s="8">
        <v>13</v>
      </c>
      <c r="B14" s="129" t="s">
        <v>92</v>
      </c>
      <c r="C14" s="55" t="s">
        <v>50</v>
      </c>
      <c r="D14" s="42">
        <v>40</v>
      </c>
      <c r="E14" s="12">
        <v>111</v>
      </c>
      <c r="F14" s="32">
        <v>35</v>
      </c>
      <c r="G14" s="162">
        <v>20</v>
      </c>
      <c r="H14" s="143">
        <f t="shared" si="0"/>
        <v>206</v>
      </c>
    </row>
    <row r="15" spans="1:8" ht="19.5" customHeight="1">
      <c r="A15" s="8">
        <v>14</v>
      </c>
      <c r="B15" s="129" t="s">
        <v>415</v>
      </c>
      <c r="C15" s="55" t="s">
        <v>416</v>
      </c>
      <c r="D15" s="42">
        <v>23</v>
      </c>
      <c r="E15" s="12">
        <v>11</v>
      </c>
      <c r="F15" s="32">
        <v>30</v>
      </c>
      <c r="G15" s="162">
        <v>14</v>
      </c>
      <c r="H15" s="143">
        <f t="shared" si="0"/>
        <v>78</v>
      </c>
    </row>
    <row r="16" spans="1:8" ht="19.5" customHeight="1">
      <c r="A16" s="8">
        <v>15</v>
      </c>
      <c r="B16" s="129" t="s">
        <v>417</v>
      </c>
      <c r="C16" s="55" t="s">
        <v>6</v>
      </c>
      <c r="D16" s="42">
        <v>0</v>
      </c>
      <c r="E16" s="12">
        <v>0</v>
      </c>
      <c r="F16" s="32">
        <v>0</v>
      </c>
      <c r="G16" s="162">
        <v>0</v>
      </c>
      <c r="H16" s="143">
        <f t="shared" si="0"/>
        <v>0</v>
      </c>
    </row>
    <row r="17" spans="1:8" ht="19.5" customHeight="1">
      <c r="A17" s="8">
        <v>16</v>
      </c>
      <c r="B17" s="129" t="s">
        <v>273</v>
      </c>
      <c r="C17" s="55" t="s">
        <v>24</v>
      </c>
      <c r="D17" s="42">
        <v>0</v>
      </c>
      <c r="E17" s="12">
        <v>0</v>
      </c>
      <c r="F17" s="32">
        <v>0</v>
      </c>
      <c r="G17" s="162">
        <v>0</v>
      </c>
      <c r="H17" s="143">
        <f t="shared" si="0"/>
        <v>0</v>
      </c>
    </row>
    <row r="18" spans="1:8" ht="19.5" customHeight="1">
      <c r="A18" s="8">
        <v>17</v>
      </c>
      <c r="B18" s="129" t="s">
        <v>418</v>
      </c>
      <c r="C18" s="55" t="s">
        <v>135</v>
      </c>
      <c r="D18" s="42">
        <v>0</v>
      </c>
      <c r="E18" s="12">
        <v>0</v>
      </c>
      <c r="F18" s="32">
        <v>0</v>
      </c>
      <c r="G18" s="162">
        <v>0</v>
      </c>
      <c r="H18" s="143">
        <f t="shared" si="0"/>
        <v>0</v>
      </c>
    </row>
    <row r="19" spans="1:8" ht="19.5" customHeight="1">
      <c r="A19" s="8">
        <v>18</v>
      </c>
      <c r="B19" s="129" t="s">
        <v>419</v>
      </c>
      <c r="C19" s="55" t="s">
        <v>48</v>
      </c>
      <c r="D19" s="42">
        <v>0</v>
      </c>
      <c r="E19" s="12">
        <v>0</v>
      </c>
      <c r="F19" s="32">
        <v>0</v>
      </c>
      <c r="G19" s="162">
        <v>0</v>
      </c>
      <c r="H19" s="143">
        <f t="shared" si="0"/>
        <v>0</v>
      </c>
    </row>
    <row r="20" spans="1:8" ht="19.5" customHeight="1">
      <c r="A20" s="8">
        <v>19</v>
      </c>
      <c r="B20" s="129" t="s">
        <v>420</v>
      </c>
      <c r="C20" s="55" t="s">
        <v>13</v>
      </c>
      <c r="D20" s="42">
        <f>91+61</f>
        <v>152</v>
      </c>
      <c r="E20" s="12">
        <f>320+137+103</f>
        <v>560</v>
      </c>
      <c r="F20" s="155">
        <f>300+313</f>
        <v>613</v>
      </c>
      <c r="G20" s="164">
        <v>1080</v>
      </c>
      <c r="H20" s="143">
        <f t="shared" si="0"/>
        <v>2405</v>
      </c>
    </row>
    <row r="21" spans="1:8" ht="19.5" customHeight="1">
      <c r="A21" s="8">
        <v>20</v>
      </c>
      <c r="B21" s="129" t="s">
        <v>421</v>
      </c>
      <c r="C21" s="55" t="s">
        <v>17</v>
      </c>
      <c r="D21" s="42">
        <v>2</v>
      </c>
      <c r="E21" s="12">
        <v>13</v>
      </c>
      <c r="F21" s="32">
        <v>5</v>
      </c>
      <c r="G21" s="162">
        <v>17</v>
      </c>
      <c r="H21" s="143">
        <f t="shared" si="0"/>
        <v>37</v>
      </c>
    </row>
    <row r="22" spans="1:8" ht="19.5" customHeight="1" thickBot="1">
      <c r="A22" s="9">
        <v>21</v>
      </c>
      <c r="B22" s="130" t="s">
        <v>422</v>
      </c>
      <c r="C22" s="57" t="s">
        <v>48</v>
      </c>
      <c r="D22" s="43">
        <v>4</v>
      </c>
      <c r="E22" s="14">
        <v>0</v>
      </c>
      <c r="F22" s="33">
        <v>5</v>
      </c>
      <c r="G22" s="167">
        <v>6</v>
      </c>
      <c r="H22" s="144">
        <f t="shared" si="0"/>
        <v>15</v>
      </c>
    </row>
    <row r="23" spans="2:8" ht="15.75">
      <c r="B23" s="109" t="s">
        <v>452</v>
      </c>
      <c r="C23" s="105"/>
      <c r="D23" s="106">
        <v>8</v>
      </c>
      <c r="E23" s="106"/>
      <c r="F23" s="106"/>
      <c r="G23" s="106"/>
      <c r="H23" s="106">
        <f>SUM(D23:G23)</f>
        <v>8</v>
      </c>
    </row>
    <row r="24" spans="2:8" ht="16.5" thickBot="1">
      <c r="B24" s="109"/>
      <c r="C24" s="105"/>
      <c r="D24" s="106"/>
      <c r="E24" s="106"/>
      <c r="F24" s="106"/>
      <c r="G24" s="106"/>
      <c r="H24" s="105"/>
    </row>
    <row r="25" spans="1:8" s="29" customFormat="1" ht="16.5" thickBot="1">
      <c r="A25" s="28"/>
      <c r="B25" s="119" t="s">
        <v>352</v>
      </c>
      <c r="D25" s="19">
        <f>SUM(D3:D23)</f>
        <v>289</v>
      </c>
      <c r="E25" s="19">
        <f>SUM(E3:E22)</f>
        <v>1049</v>
      </c>
      <c r="F25" s="19">
        <f>SUM(F3:F23)</f>
        <v>1114</v>
      </c>
      <c r="G25" s="19">
        <f>SUM(G3:G23)</f>
        <v>2733</v>
      </c>
      <c r="H25" s="118">
        <f>SUM(H3:H23)</f>
        <v>5185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&amp;C&amp;"Arial,Tučné"&amp;14Sběr 2008 - 2009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J14" sqref="J1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248</v>
      </c>
      <c r="B1" s="10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7">
        <v>1</v>
      </c>
      <c r="B2" s="78" t="s">
        <v>181</v>
      </c>
      <c r="C2" s="79" t="s">
        <v>31</v>
      </c>
      <c r="D2" s="11">
        <v>0</v>
      </c>
      <c r="E2" s="31">
        <v>57</v>
      </c>
      <c r="F2" s="31">
        <v>21</v>
      </c>
      <c r="G2" s="161">
        <v>3</v>
      </c>
      <c r="H2" s="102">
        <f>SUM(D2:G2)</f>
        <v>81</v>
      </c>
    </row>
    <row r="3" spans="1:8" ht="19.5" customHeight="1">
      <c r="A3" s="8">
        <v>2</v>
      </c>
      <c r="B3" s="80" t="s">
        <v>159</v>
      </c>
      <c r="C3" s="81" t="s">
        <v>160</v>
      </c>
      <c r="D3" s="12">
        <v>12</v>
      </c>
      <c r="E3" s="32">
        <v>12</v>
      </c>
      <c r="F3" s="32">
        <v>4</v>
      </c>
      <c r="G3" s="162">
        <v>3</v>
      </c>
      <c r="H3" s="103">
        <f aca="true" t="shared" si="0" ref="H3:H18">SUM(D3:G3)</f>
        <v>31</v>
      </c>
    </row>
    <row r="4" spans="1:8" ht="19.5" customHeight="1">
      <c r="A4" s="8">
        <v>3</v>
      </c>
      <c r="B4" s="80" t="s">
        <v>184</v>
      </c>
      <c r="C4" s="81" t="s">
        <v>150</v>
      </c>
      <c r="D4" s="12">
        <v>0</v>
      </c>
      <c r="E4" s="32">
        <v>0</v>
      </c>
      <c r="F4" s="32">
        <v>0</v>
      </c>
      <c r="G4" s="162">
        <v>0</v>
      </c>
      <c r="H4" s="103">
        <f t="shared" si="0"/>
        <v>0</v>
      </c>
    </row>
    <row r="5" spans="1:8" ht="19.5" customHeight="1">
      <c r="A5" s="8">
        <v>4</v>
      </c>
      <c r="B5" s="80" t="s">
        <v>166</v>
      </c>
      <c r="C5" s="81" t="s">
        <v>85</v>
      </c>
      <c r="D5" s="12">
        <f>98+182+142</f>
        <v>422</v>
      </c>
      <c r="E5" s="32">
        <f>37+31+22+55+11+57+37+146+126</f>
        <v>522</v>
      </c>
      <c r="F5" s="32">
        <v>94</v>
      </c>
      <c r="G5" s="162">
        <v>0</v>
      </c>
      <c r="H5" s="103">
        <f t="shared" si="0"/>
        <v>1038</v>
      </c>
    </row>
    <row r="6" spans="1:8" ht="19.5" customHeight="1">
      <c r="A6" s="8">
        <v>5</v>
      </c>
      <c r="B6" s="80" t="s">
        <v>185</v>
      </c>
      <c r="C6" s="81" t="s">
        <v>41</v>
      </c>
      <c r="D6" s="12">
        <v>0</v>
      </c>
      <c r="E6" s="32">
        <v>2</v>
      </c>
      <c r="F6" s="32">
        <v>4</v>
      </c>
      <c r="G6" s="162">
        <v>3</v>
      </c>
      <c r="H6" s="103">
        <f t="shared" si="0"/>
        <v>9</v>
      </c>
    </row>
    <row r="7" spans="1:8" ht="19.5" customHeight="1">
      <c r="A7" s="8">
        <v>6</v>
      </c>
      <c r="B7" s="80" t="s">
        <v>186</v>
      </c>
      <c r="C7" s="81" t="s">
        <v>95</v>
      </c>
      <c r="D7" s="12">
        <v>0</v>
      </c>
      <c r="E7" s="32">
        <v>0</v>
      </c>
      <c r="F7" s="32">
        <v>0</v>
      </c>
      <c r="G7" s="162">
        <v>0</v>
      </c>
      <c r="H7" s="103">
        <f t="shared" si="0"/>
        <v>0</v>
      </c>
    </row>
    <row r="8" spans="1:8" ht="19.5" customHeight="1">
      <c r="A8" s="8">
        <v>7</v>
      </c>
      <c r="B8" s="80" t="s">
        <v>168</v>
      </c>
      <c r="C8" s="81" t="s">
        <v>53</v>
      </c>
      <c r="D8" s="12">
        <v>147</v>
      </c>
      <c r="E8" s="32">
        <v>93</v>
      </c>
      <c r="F8" s="32">
        <v>0</v>
      </c>
      <c r="G8" s="162">
        <v>180</v>
      </c>
      <c r="H8" s="103">
        <f t="shared" si="0"/>
        <v>420</v>
      </c>
    </row>
    <row r="9" spans="1:8" ht="19.5" customHeight="1">
      <c r="A9" s="8">
        <v>8</v>
      </c>
      <c r="B9" s="80" t="s">
        <v>15</v>
      </c>
      <c r="C9" s="81" t="s">
        <v>114</v>
      </c>
      <c r="D9" s="12">
        <v>33</v>
      </c>
      <c r="E9" s="32">
        <v>0</v>
      </c>
      <c r="F9" s="32">
        <v>0</v>
      </c>
      <c r="G9" s="162">
        <v>12</v>
      </c>
      <c r="H9" s="103">
        <f t="shared" si="0"/>
        <v>45</v>
      </c>
    </row>
    <row r="10" spans="1:8" ht="19.5" customHeight="1">
      <c r="A10" s="8">
        <v>9</v>
      </c>
      <c r="B10" s="80" t="s">
        <v>170</v>
      </c>
      <c r="C10" s="81" t="s">
        <v>48</v>
      </c>
      <c r="D10" s="12">
        <f>73+66</f>
        <v>139</v>
      </c>
      <c r="E10" s="32">
        <f>72+34</f>
        <v>106</v>
      </c>
      <c r="F10" s="32">
        <v>170</v>
      </c>
      <c r="G10" s="162">
        <v>33</v>
      </c>
      <c r="H10" s="103">
        <f t="shared" si="0"/>
        <v>448</v>
      </c>
    </row>
    <row r="11" spans="1:8" ht="19.5" customHeight="1">
      <c r="A11" s="8">
        <v>10</v>
      </c>
      <c r="B11" s="80" t="s">
        <v>190</v>
      </c>
      <c r="C11" s="81" t="s">
        <v>97</v>
      </c>
      <c r="D11" s="12">
        <v>7</v>
      </c>
      <c r="E11" s="32">
        <v>7</v>
      </c>
      <c r="F11" s="32">
        <v>0</v>
      </c>
      <c r="G11" s="162">
        <v>0</v>
      </c>
      <c r="H11" s="103">
        <f t="shared" si="0"/>
        <v>14</v>
      </c>
    </row>
    <row r="12" spans="1:8" ht="19.5" customHeight="1">
      <c r="A12" s="8">
        <v>11</v>
      </c>
      <c r="B12" s="80" t="s">
        <v>191</v>
      </c>
      <c r="C12" s="81" t="s">
        <v>66</v>
      </c>
      <c r="D12" s="12">
        <f>92+26</f>
        <v>118</v>
      </c>
      <c r="E12" s="32">
        <f>29+29</f>
        <v>58</v>
      </c>
      <c r="F12" s="32">
        <v>0</v>
      </c>
      <c r="G12" s="162">
        <v>61</v>
      </c>
      <c r="H12" s="103">
        <f t="shared" si="0"/>
        <v>237</v>
      </c>
    </row>
    <row r="13" spans="1:8" ht="19.5" customHeight="1">
      <c r="A13" s="8">
        <v>12</v>
      </c>
      <c r="B13" s="80" t="s">
        <v>173</v>
      </c>
      <c r="C13" s="81" t="s">
        <v>174</v>
      </c>
      <c r="D13" s="12">
        <v>16</v>
      </c>
      <c r="E13" s="32">
        <v>0</v>
      </c>
      <c r="F13" s="32">
        <v>63</v>
      </c>
      <c r="G13" s="162">
        <v>0</v>
      </c>
      <c r="H13" s="103">
        <f t="shared" si="0"/>
        <v>79</v>
      </c>
    </row>
    <row r="14" spans="1:8" ht="19.5" customHeight="1">
      <c r="A14" s="8">
        <v>13</v>
      </c>
      <c r="B14" s="80" t="s">
        <v>175</v>
      </c>
      <c r="C14" s="81" t="s">
        <v>97</v>
      </c>
      <c r="D14" s="12">
        <v>38</v>
      </c>
      <c r="E14" s="32">
        <v>19</v>
      </c>
      <c r="F14" s="32">
        <v>30</v>
      </c>
      <c r="G14" s="162">
        <v>0</v>
      </c>
      <c r="H14" s="103">
        <f t="shared" si="0"/>
        <v>87</v>
      </c>
    </row>
    <row r="15" spans="1:8" ht="19.5" customHeight="1">
      <c r="A15" s="8">
        <v>14</v>
      </c>
      <c r="B15" s="80" t="s">
        <v>176</v>
      </c>
      <c r="C15" s="81" t="s">
        <v>59</v>
      </c>
      <c r="D15" s="12">
        <v>44</v>
      </c>
      <c r="E15" s="32">
        <v>0</v>
      </c>
      <c r="F15" s="32">
        <v>0</v>
      </c>
      <c r="G15" s="162">
        <v>0</v>
      </c>
      <c r="H15" s="103">
        <f t="shared" si="0"/>
        <v>44</v>
      </c>
    </row>
    <row r="16" spans="1:8" ht="19.5" customHeight="1">
      <c r="A16" s="8">
        <v>15</v>
      </c>
      <c r="B16" s="80" t="s">
        <v>195</v>
      </c>
      <c r="C16" s="81" t="s">
        <v>24</v>
      </c>
      <c r="D16" s="12">
        <v>0</v>
      </c>
      <c r="E16" s="32">
        <v>6</v>
      </c>
      <c r="F16" s="32">
        <v>4</v>
      </c>
      <c r="G16" s="162">
        <v>4</v>
      </c>
      <c r="H16" s="103">
        <f t="shared" si="0"/>
        <v>14</v>
      </c>
    </row>
    <row r="17" spans="1:8" ht="19.5" customHeight="1">
      <c r="A17" s="8">
        <v>16</v>
      </c>
      <c r="B17" s="80" t="s">
        <v>196</v>
      </c>
      <c r="C17" s="81" t="s">
        <v>197</v>
      </c>
      <c r="D17" s="12">
        <v>6</v>
      </c>
      <c r="E17" s="32">
        <v>12</v>
      </c>
      <c r="F17" s="32">
        <v>18</v>
      </c>
      <c r="G17" s="162">
        <v>18</v>
      </c>
      <c r="H17" s="103">
        <f t="shared" si="0"/>
        <v>54</v>
      </c>
    </row>
    <row r="18" spans="1:8" ht="19.5" customHeight="1" thickBot="1">
      <c r="A18" s="9">
        <v>17</v>
      </c>
      <c r="B18" s="82" t="s">
        <v>198</v>
      </c>
      <c r="C18" s="83" t="s">
        <v>135</v>
      </c>
      <c r="D18" s="135">
        <f>200+67</f>
        <v>267</v>
      </c>
      <c r="E18" s="33">
        <f>100+100+80+160+6</f>
        <v>446</v>
      </c>
      <c r="F18" s="158">
        <f>140+220+180+70</f>
        <v>610</v>
      </c>
      <c r="G18" s="165">
        <f>140+220+100+15+32</f>
        <v>507</v>
      </c>
      <c r="H18" s="104">
        <f t="shared" si="0"/>
        <v>1830</v>
      </c>
    </row>
    <row r="19" spans="1:8" s="105" customFormat="1" ht="15.75">
      <c r="A19" s="113"/>
      <c r="B19" s="109" t="s">
        <v>452</v>
      </c>
      <c r="D19" s="106"/>
      <c r="E19" s="110"/>
      <c r="F19" s="106">
        <v>4</v>
      </c>
      <c r="G19" s="106"/>
      <c r="H19" s="106">
        <f>SUM(D19:G19)</f>
        <v>4</v>
      </c>
    </row>
    <row r="20" spans="4:7" ht="15.75" thickBot="1">
      <c r="D20" s="18"/>
      <c r="E20" s="15"/>
      <c r="F20" s="26"/>
      <c r="G20" s="26"/>
    </row>
    <row r="21" spans="1:8" s="29" customFormat="1" ht="16.5" thickBot="1">
      <c r="A21" s="28"/>
      <c r="B21" s="119" t="s">
        <v>352</v>
      </c>
      <c r="D21" s="19">
        <f>SUM(D2:D18)</f>
        <v>1249</v>
      </c>
      <c r="E21" s="19">
        <f>SUM(E2:E18)</f>
        <v>1340</v>
      </c>
      <c r="F21" s="19">
        <f>SUM(F2:F18)</f>
        <v>1018</v>
      </c>
      <c r="G21" s="19">
        <f>SUM(G2:G19)</f>
        <v>824</v>
      </c>
      <c r="H21" s="118">
        <f>SUM(H2:H19)</f>
        <v>4435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2008 - 2009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I31" sqref="I31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9" t="s">
        <v>279</v>
      </c>
      <c r="B1" s="10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64">
        <v>1</v>
      </c>
      <c r="B2" s="58" t="s">
        <v>179</v>
      </c>
      <c r="C2" s="59" t="s">
        <v>76</v>
      </c>
      <c r="D2" s="11">
        <v>0</v>
      </c>
      <c r="E2" s="31">
        <v>0</v>
      </c>
      <c r="F2" s="31">
        <v>44</v>
      </c>
      <c r="G2" s="161">
        <v>4</v>
      </c>
      <c r="H2" s="102">
        <f>SUM(D2:G2)</f>
        <v>48</v>
      </c>
    </row>
    <row r="3" spans="1:8" ht="19.5" customHeight="1">
      <c r="A3" s="65">
        <v>2</v>
      </c>
      <c r="B3" s="60" t="s">
        <v>154</v>
      </c>
      <c r="C3" s="61" t="s">
        <v>155</v>
      </c>
      <c r="D3" s="12">
        <f>39+13</f>
        <v>52</v>
      </c>
      <c r="E3" s="32">
        <v>100</v>
      </c>
      <c r="F3" s="32">
        <v>52</v>
      </c>
      <c r="G3" s="162">
        <v>36</v>
      </c>
      <c r="H3" s="103">
        <f aca="true" t="shared" si="0" ref="H3:H24">SUM(D3:G3)</f>
        <v>240</v>
      </c>
    </row>
    <row r="4" spans="1:8" ht="19.5" customHeight="1">
      <c r="A4" s="65">
        <v>3</v>
      </c>
      <c r="B4" s="60" t="s">
        <v>156</v>
      </c>
      <c r="C4" s="61" t="s">
        <v>157</v>
      </c>
      <c r="D4" s="12">
        <v>0</v>
      </c>
      <c r="E4" s="32">
        <v>16</v>
      </c>
      <c r="F4" s="32">
        <v>61</v>
      </c>
      <c r="G4" s="162">
        <v>7</v>
      </c>
      <c r="H4" s="103">
        <f t="shared" si="0"/>
        <v>84</v>
      </c>
    </row>
    <row r="5" spans="1:8" ht="19.5" customHeight="1">
      <c r="A5" s="65">
        <v>4</v>
      </c>
      <c r="B5" s="60" t="s">
        <v>158</v>
      </c>
      <c r="C5" s="61" t="s">
        <v>99</v>
      </c>
      <c r="D5" s="12">
        <v>19</v>
      </c>
      <c r="E5" s="32">
        <v>0</v>
      </c>
      <c r="F5" s="32">
        <v>0</v>
      </c>
      <c r="G5" s="162">
        <v>6</v>
      </c>
      <c r="H5" s="103">
        <f t="shared" si="0"/>
        <v>25</v>
      </c>
    </row>
    <row r="6" spans="1:8" ht="19.5" customHeight="1">
      <c r="A6" s="65">
        <v>5</v>
      </c>
      <c r="B6" s="60" t="s">
        <v>180</v>
      </c>
      <c r="C6" s="61" t="s">
        <v>24</v>
      </c>
      <c r="D6" s="12">
        <v>15</v>
      </c>
      <c r="E6" s="32">
        <v>3</v>
      </c>
      <c r="F6" s="32">
        <v>0</v>
      </c>
      <c r="G6" s="162">
        <v>0</v>
      </c>
      <c r="H6" s="103">
        <f t="shared" si="0"/>
        <v>18</v>
      </c>
    </row>
    <row r="7" spans="1:8" ht="19.5" customHeight="1">
      <c r="A7" s="65">
        <v>6</v>
      </c>
      <c r="B7" s="60" t="s">
        <v>182</v>
      </c>
      <c r="C7" s="61" t="s">
        <v>183</v>
      </c>
      <c r="D7" s="12">
        <v>33</v>
      </c>
      <c r="E7" s="32">
        <v>36</v>
      </c>
      <c r="F7" s="32">
        <v>0</v>
      </c>
      <c r="G7" s="162">
        <v>46</v>
      </c>
      <c r="H7" s="103">
        <f t="shared" si="0"/>
        <v>115</v>
      </c>
    </row>
    <row r="8" spans="1:8" ht="19.5" customHeight="1">
      <c r="A8" s="65">
        <v>7</v>
      </c>
      <c r="B8" s="60" t="s">
        <v>161</v>
      </c>
      <c r="C8" s="61" t="s">
        <v>121</v>
      </c>
      <c r="D8" s="12">
        <v>30</v>
      </c>
      <c r="E8" s="32">
        <v>13</v>
      </c>
      <c r="F8" s="32">
        <v>14</v>
      </c>
      <c r="G8" s="162">
        <v>0</v>
      </c>
      <c r="H8" s="103">
        <f t="shared" si="0"/>
        <v>57</v>
      </c>
    </row>
    <row r="9" spans="1:8" ht="19.5" customHeight="1">
      <c r="A9" s="65">
        <v>8</v>
      </c>
      <c r="B9" s="60" t="s">
        <v>162</v>
      </c>
      <c r="C9" s="61" t="s">
        <v>97</v>
      </c>
      <c r="D9" s="12">
        <v>69</v>
      </c>
      <c r="E9" s="32">
        <v>135</v>
      </c>
      <c r="F9" s="32">
        <v>75</v>
      </c>
      <c r="G9" s="162">
        <v>98</v>
      </c>
      <c r="H9" s="103">
        <f t="shared" si="0"/>
        <v>377</v>
      </c>
    </row>
    <row r="10" spans="1:8" ht="19.5" customHeight="1">
      <c r="A10" s="65">
        <v>9</v>
      </c>
      <c r="B10" s="60" t="s">
        <v>163</v>
      </c>
      <c r="C10" s="61" t="s">
        <v>64</v>
      </c>
      <c r="D10" s="12">
        <v>10</v>
      </c>
      <c r="E10" s="32">
        <v>0</v>
      </c>
      <c r="F10" s="32">
        <v>15</v>
      </c>
      <c r="G10" s="162">
        <v>0</v>
      </c>
      <c r="H10" s="103">
        <f t="shared" si="0"/>
        <v>25</v>
      </c>
    </row>
    <row r="11" spans="1:8" ht="19.5" customHeight="1">
      <c r="A11" s="65">
        <v>10</v>
      </c>
      <c r="B11" s="60" t="s">
        <v>164</v>
      </c>
      <c r="C11" s="61" t="s">
        <v>165</v>
      </c>
      <c r="D11" s="12">
        <v>15</v>
      </c>
      <c r="E11" s="32">
        <f>21+12</f>
        <v>33</v>
      </c>
      <c r="F11" s="32">
        <v>6</v>
      </c>
      <c r="G11" s="162">
        <v>13</v>
      </c>
      <c r="H11" s="103">
        <f t="shared" si="0"/>
        <v>67</v>
      </c>
    </row>
    <row r="12" spans="1:8" ht="19.5" customHeight="1">
      <c r="A12" s="65">
        <v>11</v>
      </c>
      <c r="B12" s="60" t="s">
        <v>134</v>
      </c>
      <c r="C12" s="61" t="s">
        <v>95</v>
      </c>
      <c r="D12" s="12">
        <v>50</v>
      </c>
      <c r="E12" s="32">
        <v>0</v>
      </c>
      <c r="F12" s="32">
        <v>0</v>
      </c>
      <c r="G12" s="162">
        <v>30</v>
      </c>
      <c r="H12" s="103">
        <f t="shared" si="0"/>
        <v>80</v>
      </c>
    </row>
    <row r="13" spans="1:8" ht="19.5" customHeight="1">
      <c r="A13" s="65">
        <v>12</v>
      </c>
      <c r="B13" s="60" t="s">
        <v>167</v>
      </c>
      <c r="C13" s="61" t="s">
        <v>70</v>
      </c>
      <c r="D13" s="12">
        <v>50</v>
      </c>
      <c r="E13" s="32">
        <v>81</v>
      </c>
      <c r="F13" s="32">
        <v>90</v>
      </c>
      <c r="G13" s="162">
        <v>65</v>
      </c>
      <c r="H13" s="103">
        <f t="shared" si="0"/>
        <v>286</v>
      </c>
    </row>
    <row r="14" spans="1:8" ht="19.5" customHeight="1">
      <c r="A14" s="65">
        <v>13</v>
      </c>
      <c r="B14" s="60" t="s">
        <v>113</v>
      </c>
      <c r="C14" s="61" t="s">
        <v>9</v>
      </c>
      <c r="D14" s="134">
        <v>50</v>
      </c>
      <c r="E14" s="32">
        <v>33</v>
      </c>
      <c r="F14" s="155">
        <v>60</v>
      </c>
      <c r="G14" s="164">
        <v>30</v>
      </c>
      <c r="H14" s="103">
        <f t="shared" si="0"/>
        <v>173</v>
      </c>
    </row>
    <row r="15" spans="1:8" ht="19.5" customHeight="1">
      <c r="A15" s="65">
        <v>14</v>
      </c>
      <c r="B15" s="60" t="s">
        <v>187</v>
      </c>
      <c r="C15" s="61" t="s">
        <v>97</v>
      </c>
      <c r="D15" s="134">
        <f>50+22</f>
        <v>72</v>
      </c>
      <c r="E15" s="32">
        <v>4</v>
      </c>
      <c r="F15" s="155">
        <v>130</v>
      </c>
      <c r="G15" s="162">
        <v>7</v>
      </c>
      <c r="H15" s="103">
        <f t="shared" si="0"/>
        <v>213</v>
      </c>
    </row>
    <row r="16" spans="1:8" ht="19.5" customHeight="1">
      <c r="A16" s="65">
        <v>15</v>
      </c>
      <c r="B16" s="60" t="s">
        <v>188</v>
      </c>
      <c r="C16" s="61" t="s">
        <v>41</v>
      </c>
      <c r="D16" s="134">
        <v>20</v>
      </c>
      <c r="E16" s="32">
        <v>84</v>
      </c>
      <c r="F16" s="32">
        <v>64</v>
      </c>
      <c r="G16" s="162">
        <v>70</v>
      </c>
      <c r="H16" s="103">
        <f t="shared" si="0"/>
        <v>238</v>
      </c>
    </row>
    <row r="17" spans="1:8" ht="19.5" customHeight="1">
      <c r="A17" s="65">
        <v>16</v>
      </c>
      <c r="B17" s="60" t="s">
        <v>189</v>
      </c>
      <c r="C17" s="61" t="s">
        <v>19</v>
      </c>
      <c r="D17" s="134">
        <v>0</v>
      </c>
      <c r="E17" s="32">
        <v>0</v>
      </c>
      <c r="F17" s="32">
        <v>0</v>
      </c>
      <c r="G17" s="162">
        <v>5</v>
      </c>
      <c r="H17" s="103">
        <f t="shared" si="0"/>
        <v>5</v>
      </c>
    </row>
    <row r="18" spans="1:8" ht="19.5" customHeight="1">
      <c r="A18" s="65">
        <v>17</v>
      </c>
      <c r="B18" s="60" t="s">
        <v>171</v>
      </c>
      <c r="C18" s="61" t="s">
        <v>172</v>
      </c>
      <c r="D18" s="134">
        <f>45+63+12+60+26</f>
        <v>206</v>
      </c>
      <c r="E18" s="32">
        <f>70+106</f>
        <v>176</v>
      </c>
      <c r="F18" s="32">
        <v>38</v>
      </c>
      <c r="G18" s="162">
        <f>91+6+15</f>
        <v>112</v>
      </c>
      <c r="H18" s="103">
        <f t="shared" si="0"/>
        <v>532</v>
      </c>
    </row>
    <row r="19" spans="1:8" ht="19.5" customHeight="1">
      <c r="A19" s="65">
        <v>18</v>
      </c>
      <c r="B19" s="60" t="s">
        <v>192</v>
      </c>
      <c r="C19" s="61" t="s">
        <v>70</v>
      </c>
      <c r="D19" s="134">
        <v>80</v>
      </c>
      <c r="E19" s="32">
        <v>7</v>
      </c>
      <c r="F19" s="155">
        <v>380</v>
      </c>
      <c r="G19" s="164">
        <v>260</v>
      </c>
      <c r="H19" s="103">
        <f t="shared" si="0"/>
        <v>727</v>
      </c>
    </row>
    <row r="20" spans="1:8" ht="19.5" customHeight="1">
      <c r="A20" s="65">
        <v>19</v>
      </c>
      <c r="B20" s="60" t="s">
        <v>401</v>
      </c>
      <c r="C20" s="61" t="s">
        <v>31</v>
      </c>
      <c r="D20" s="12">
        <v>0</v>
      </c>
      <c r="E20" s="32">
        <v>0</v>
      </c>
      <c r="F20" s="32">
        <v>0</v>
      </c>
      <c r="G20" s="186">
        <v>70</v>
      </c>
      <c r="H20" s="103">
        <f t="shared" si="0"/>
        <v>70</v>
      </c>
    </row>
    <row r="21" spans="1:8" ht="19.5" customHeight="1">
      <c r="A21" s="65">
        <v>20</v>
      </c>
      <c r="B21" s="60" t="s">
        <v>32</v>
      </c>
      <c r="C21" s="61" t="s">
        <v>193</v>
      </c>
      <c r="D21" s="12">
        <v>6</v>
      </c>
      <c r="E21" s="32">
        <v>18</v>
      </c>
      <c r="F21" s="32">
        <v>10</v>
      </c>
      <c r="G21" s="162">
        <v>11</v>
      </c>
      <c r="H21" s="103">
        <f t="shared" si="0"/>
        <v>45</v>
      </c>
    </row>
    <row r="22" spans="1:8" ht="19.5" customHeight="1">
      <c r="A22" s="65">
        <v>21</v>
      </c>
      <c r="B22" s="60" t="s">
        <v>194</v>
      </c>
      <c r="C22" s="61" t="s">
        <v>53</v>
      </c>
      <c r="D22" s="12">
        <v>45</v>
      </c>
      <c r="E22" s="32">
        <v>19</v>
      </c>
      <c r="F22" s="32">
        <v>9</v>
      </c>
      <c r="G22" s="162">
        <v>24</v>
      </c>
      <c r="H22" s="103">
        <f t="shared" si="0"/>
        <v>97</v>
      </c>
    </row>
    <row r="23" spans="1:8" ht="19.5" customHeight="1">
      <c r="A23" s="65">
        <v>22</v>
      </c>
      <c r="B23" s="60" t="s">
        <v>177</v>
      </c>
      <c r="C23" s="61" t="s">
        <v>178</v>
      </c>
      <c r="D23" s="12">
        <f>351+1530+165</f>
        <v>2046</v>
      </c>
      <c r="E23" s="32">
        <f>1026+225</f>
        <v>1251</v>
      </c>
      <c r="F23" s="32">
        <v>500</v>
      </c>
      <c r="G23" s="162">
        <f>348+583</f>
        <v>931</v>
      </c>
      <c r="H23" s="103">
        <f t="shared" si="0"/>
        <v>4728</v>
      </c>
    </row>
    <row r="24" spans="1:8" ht="19.5" customHeight="1" thickBot="1">
      <c r="A24" s="69">
        <v>23</v>
      </c>
      <c r="B24" s="62" t="s">
        <v>199</v>
      </c>
      <c r="C24" s="63" t="s">
        <v>137</v>
      </c>
      <c r="D24" s="14">
        <v>35</v>
      </c>
      <c r="E24" s="33">
        <v>0</v>
      </c>
      <c r="F24" s="33">
        <v>3</v>
      </c>
      <c r="G24" s="167">
        <v>4</v>
      </c>
      <c r="H24" s="104">
        <f t="shared" si="0"/>
        <v>42</v>
      </c>
    </row>
    <row r="25" spans="1:8" s="105" customFormat="1" ht="15.75">
      <c r="A25" s="113"/>
      <c r="B25" s="109" t="s">
        <v>452</v>
      </c>
      <c r="D25" s="106"/>
      <c r="E25" s="106"/>
      <c r="F25" s="106">
        <v>67</v>
      </c>
      <c r="G25" s="106"/>
      <c r="H25" s="116">
        <f>SUM(D25:G25)</f>
        <v>67</v>
      </c>
    </row>
    <row r="26" spans="4:7" ht="15.75" thickBot="1">
      <c r="D26" s="17"/>
      <c r="E26" s="17"/>
      <c r="F26" s="26"/>
      <c r="G26" s="26"/>
    </row>
    <row r="27" spans="1:8" s="29" customFormat="1" ht="16.5" thickBot="1">
      <c r="A27" s="28"/>
      <c r="B27" s="119" t="s">
        <v>352</v>
      </c>
      <c r="D27" s="19">
        <f>SUM(D2:D24)</f>
        <v>2903</v>
      </c>
      <c r="E27" s="19">
        <f>SUM(E2:E24)</f>
        <v>2009</v>
      </c>
      <c r="F27" s="19">
        <f>SUM(F2:F25)</f>
        <v>1618</v>
      </c>
      <c r="G27" s="19">
        <f>SUM(G2:G25)</f>
        <v>1829</v>
      </c>
      <c r="H27" s="118">
        <f>SUM(H2:H25)</f>
        <v>8359</v>
      </c>
    </row>
    <row r="29" ht="12.75">
      <c r="H29" s="21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2008 - 2009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J22" sqref="J22"/>
    </sheetView>
  </sheetViews>
  <sheetFormatPr defaultColWidth="9.140625" defaultRowHeight="12.75"/>
  <cols>
    <col min="1" max="1" width="5.140625" style="2" customWidth="1"/>
    <col min="2" max="2" width="18.8515625" style="0" customWidth="1"/>
    <col min="3" max="3" width="17.28125" style="0" customWidth="1"/>
    <col min="4" max="4" width="12.7109375" style="1" customWidth="1"/>
    <col min="5" max="7" width="12.7109375" style="0" customWidth="1"/>
    <col min="8" max="8" width="15.57421875" style="44" customWidth="1"/>
  </cols>
  <sheetData>
    <row r="1" spans="1:8" ht="24.75" customHeight="1" thickBot="1">
      <c r="A1" s="6" t="s">
        <v>299</v>
      </c>
      <c r="B1" s="10" t="s">
        <v>350</v>
      </c>
      <c r="C1" s="41" t="s">
        <v>351</v>
      </c>
      <c r="D1" s="123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64">
        <v>1</v>
      </c>
      <c r="B2" s="58" t="s">
        <v>201</v>
      </c>
      <c r="C2" s="59" t="s">
        <v>41</v>
      </c>
      <c r="D2" s="11">
        <v>28</v>
      </c>
      <c r="E2" s="31">
        <v>22</v>
      </c>
      <c r="F2" s="31">
        <v>14</v>
      </c>
      <c r="G2" s="161">
        <v>12</v>
      </c>
      <c r="H2" s="120">
        <f>SUM(D2:G2)</f>
        <v>76</v>
      </c>
    </row>
    <row r="3" spans="1:8" ht="19.5" customHeight="1">
      <c r="A3" s="65">
        <v>2</v>
      </c>
      <c r="B3" s="60" t="s">
        <v>202</v>
      </c>
      <c r="C3" s="61" t="s">
        <v>137</v>
      </c>
      <c r="D3" s="12">
        <v>26</v>
      </c>
      <c r="E3" s="32">
        <v>44</v>
      </c>
      <c r="F3" s="32">
        <v>74</v>
      </c>
      <c r="G3" s="162">
        <v>37</v>
      </c>
      <c r="H3" s="121">
        <f aca="true" t="shared" si="0" ref="H3:H21">SUM(D3:G3)</f>
        <v>181</v>
      </c>
    </row>
    <row r="4" spans="1:8" ht="19.5" customHeight="1">
      <c r="A4" s="70">
        <v>3</v>
      </c>
      <c r="B4" s="60" t="s">
        <v>203</v>
      </c>
      <c r="C4" s="61" t="s">
        <v>135</v>
      </c>
      <c r="D4" s="12">
        <v>10</v>
      </c>
      <c r="E4" s="32">
        <v>0</v>
      </c>
      <c r="F4" s="32">
        <v>4</v>
      </c>
      <c r="G4" s="162">
        <v>86</v>
      </c>
      <c r="H4" s="121">
        <f t="shared" si="0"/>
        <v>100</v>
      </c>
    </row>
    <row r="5" spans="1:8" ht="19.5" customHeight="1">
      <c r="A5" s="65">
        <v>4</v>
      </c>
      <c r="B5" s="60" t="s">
        <v>204</v>
      </c>
      <c r="C5" s="61" t="s">
        <v>110</v>
      </c>
      <c r="D5" s="12">
        <v>20</v>
      </c>
      <c r="E5" s="32">
        <v>19</v>
      </c>
      <c r="F5" s="32">
        <v>12</v>
      </c>
      <c r="G5" s="162">
        <v>28</v>
      </c>
      <c r="H5" s="121">
        <f t="shared" si="0"/>
        <v>79</v>
      </c>
    </row>
    <row r="6" spans="1:8" ht="19.5" customHeight="1">
      <c r="A6" s="70">
        <v>5</v>
      </c>
      <c r="B6" s="60" t="s">
        <v>206</v>
      </c>
      <c r="C6" s="61" t="s">
        <v>207</v>
      </c>
      <c r="D6" s="12">
        <v>16</v>
      </c>
      <c r="E6" s="32">
        <v>0</v>
      </c>
      <c r="F6" s="32">
        <v>12</v>
      </c>
      <c r="G6" s="162">
        <v>10</v>
      </c>
      <c r="H6" s="121">
        <f t="shared" si="0"/>
        <v>38</v>
      </c>
    </row>
    <row r="7" spans="1:8" ht="19.5" customHeight="1">
      <c r="A7" s="65">
        <v>6</v>
      </c>
      <c r="B7" s="60" t="s">
        <v>208</v>
      </c>
      <c r="C7" s="61" t="s">
        <v>121</v>
      </c>
      <c r="D7" s="12">
        <v>4</v>
      </c>
      <c r="E7" s="32">
        <v>0</v>
      </c>
      <c r="F7" s="32">
        <v>10</v>
      </c>
      <c r="G7" s="162">
        <v>4</v>
      </c>
      <c r="H7" s="121">
        <f t="shared" si="0"/>
        <v>18</v>
      </c>
    </row>
    <row r="8" spans="1:8" ht="19.5" customHeight="1">
      <c r="A8" s="70">
        <v>7</v>
      </c>
      <c r="B8" s="60" t="s">
        <v>209</v>
      </c>
      <c r="C8" s="61" t="s">
        <v>90</v>
      </c>
      <c r="D8" s="12">
        <v>114</v>
      </c>
      <c r="E8" s="32">
        <f>85+50</f>
        <v>135</v>
      </c>
      <c r="F8" s="32">
        <v>1</v>
      </c>
      <c r="G8" s="162">
        <v>0</v>
      </c>
      <c r="H8" s="121">
        <f t="shared" si="0"/>
        <v>250</v>
      </c>
    </row>
    <row r="9" spans="1:8" ht="19.5" customHeight="1">
      <c r="A9" s="65">
        <v>8</v>
      </c>
      <c r="B9" s="60" t="s">
        <v>210</v>
      </c>
      <c r="C9" s="61" t="s">
        <v>26</v>
      </c>
      <c r="D9" s="12">
        <v>11</v>
      </c>
      <c r="E9" s="32">
        <v>18</v>
      </c>
      <c r="F9" s="32">
        <v>6</v>
      </c>
      <c r="G9" s="162">
        <f>5+11</f>
        <v>16</v>
      </c>
      <c r="H9" s="121">
        <f t="shared" si="0"/>
        <v>51</v>
      </c>
    </row>
    <row r="10" spans="1:8" ht="19.5" customHeight="1">
      <c r="A10" s="70">
        <v>9</v>
      </c>
      <c r="B10" s="60" t="s">
        <v>211</v>
      </c>
      <c r="C10" s="61" t="s">
        <v>212</v>
      </c>
      <c r="D10" s="12">
        <v>6</v>
      </c>
      <c r="E10" s="32">
        <v>8</v>
      </c>
      <c r="F10" s="32">
        <v>12</v>
      </c>
      <c r="G10" s="162">
        <v>6</v>
      </c>
      <c r="H10" s="121">
        <f t="shared" si="0"/>
        <v>32</v>
      </c>
    </row>
    <row r="11" spans="1:8" ht="19.5" customHeight="1">
      <c r="A11" s="65">
        <v>10</v>
      </c>
      <c r="B11" s="60" t="s">
        <v>213</v>
      </c>
      <c r="C11" s="61" t="s">
        <v>31</v>
      </c>
      <c r="D11" s="12">
        <f>22+9</f>
        <v>31</v>
      </c>
      <c r="E11" s="32">
        <v>10</v>
      </c>
      <c r="F11" s="32">
        <v>6</v>
      </c>
      <c r="G11" s="162">
        <v>4</v>
      </c>
      <c r="H11" s="121">
        <f t="shared" si="0"/>
        <v>51</v>
      </c>
    </row>
    <row r="12" spans="1:8" ht="19.5" customHeight="1">
      <c r="A12" s="70">
        <v>11</v>
      </c>
      <c r="B12" s="149" t="s">
        <v>462</v>
      </c>
      <c r="C12" s="150" t="s">
        <v>463</v>
      </c>
      <c r="D12" s="12">
        <v>10</v>
      </c>
      <c r="E12" s="32">
        <v>7</v>
      </c>
      <c r="F12" s="32">
        <v>2</v>
      </c>
      <c r="G12" s="162">
        <v>0</v>
      </c>
      <c r="H12" s="121">
        <f t="shared" si="0"/>
        <v>19</v>
      </c>
    </row>
    <row r="13" spans="1:8" ht="19.5" customHeight="1">
      <c r="A13" s="65">
        <v>12</v>
      </c>
      <c r="B13" s="60" t="s">
        <v>215</v>
      </c>
      <c r="C13" s="61" t="s">
        <v>13</v>
      </c>
      <c r="D13" s="12">
        <v>6</v>
      </c>
      <c r="E13" s="32">
        <v>5</v>
      </c>
      <c r="F13" s="32">
        <v>6</v>
      </c>
      <c r="G13" s="162">
        <v>4</v>
      </c>
      <c r="H13" s="121">
        <f t="shared" si="0"/>
        <v>21</v>
      </c>
    </row>
    <row r="14" spans="1:8" ht="19.5" customHeight="1">
      <c r="A14" s="70">
        <v>13</v>
      </c>
      <c r="B14" s="60" t="s">
        <v>216</v>
      </c>
      <c r="C14" s="61" t="s">
        <v>157</v>
      </c>
      <c r="D14" s="12">
        <v>0</v>
      </c>
      <c r="E14" s="32">
        <v>3</v>
      </c>
      <c r="F14" s="32">
        <v>0</v>
      </c>
      <c r="G14" s="162">
        <v>17</v>
      </c>
      <c r="H14" s="121">
        <f t="shared" si="0"/>
        <v>20</v>
      </c>
    </row>
    <row r="15" spans="1:8" ht="19.5" customHeight="1">
      <c r="A15" s="65">
        <v>14</v>
      </c>
      <c r="B15" s="60" t="s">
        <v>217</v>
      </c>
      <c r="C15" s="61" t="s">
        <v>110</v>
      </c>
      <c r="D15" s="13">
        <v>20</v>
      </c>
      <c r="E15" s="34">
        <v>4</v>
      </c>
      <c r="F15" s="34">
        <v>8</v>
      </c>
      <c r="G15" s="168">
        <v>7</v>
      </c>
      <c r="H15" s="121">
        <f t="shared" si="0"/>
        <v>39</v>
      </c>
    </row>
    <row r="16" spans="1:8" ht="19.5" customHeight="1">
      <c r="A16" s="70">
        <v>15</v>
      </c>
      <c r="B16" s="60" t="s">
        <v>218</v>
      </c>
      <c r="C16" s="61" t="s">
        <v>85</v>
      </c>
      <c r="D16" s="13">
        <f>83+82+56</f>
        <v>221</v>
      </c>
      <c r="E16" s="34">
        <v>153</v>
      </c>
      <c r="F16" s="34">
        <v>25</v>
      </c>
      <c r="G16" s="168">
        <v>0</v>
      </c>
      <c r="H16" s="121">
        <f t="shared" si="0"/>
        <v>399</v>
      </c>
    </row>
    <row r="17" spans="1:8" ht="19.5" customHeight="1">
      <c r="A17" s="65">
        <v>16</v>
      </c>
      <c r="B17" s="60" t="s">
        <v>273</v>
      </c>
      <c r="C17" s="61" t="s">
        <v>9</v>
      </c>
      <c r="D17" s="13">
        <v>0</v>
      </c>
      <c r="E17" s="34">
        <v>0</v>
      </c>
      <c r="F17" s="34">
        <v>0</v>
      </c>
      <c r="G17" s="168">
        <v>0</v>
      </c>
      <c r="H17" s="121">
        <f t="shared" si="0"/>
        <v>0</v>
      </c>
    </row>
    <row r="18" spans="1:8" ht="19.5" customHeight="1">
      <c r="A18" s="70">
        <v>17</v>
      </c>
      <c r="B18" s="60" t="s">
        <v>219</v>
      </c>
      <c r="C18" s="61" t="s">
        <v>97</v>
      </c>
      <c r="D18" s="12">
        <v>14</v>
      </c>
      <c r="E18" s="32">
        <v>0</v>
      </c>
      <c r="F18" s="32">
        <v>19</v>
      </c>
      <c r="G18" s="162">
        <v>18</v>
      </c>
      <c r="H18" s="121">
        <f t="shared" si="0"/>
        <v>51</v>
      </c>
    </row>
    <row r="19" spans="1:8" ht="19.5" customHeight="1">
      <c r="A19" s="65">
        <v>18</v>
      </c>
      <c r="B19" s="60" t="s">
        <v>220</v>
      </c>
      <c r="C19" s="61" t="s">
        <v>17</v>
      </c>
      <c r="D19" s="13">
        <v>225</v>
      </c>
      <c r="E19" s="34">
        <v>106</v>
      </c>
      <c r="F19" s="34">
        <v>109</v>
      </c>
      <c r="G19" s="168">
        <v>80</v>
      </c>
      <c r="H19" s="121">
        <f t="shared" si="0"/>
        <v>520</v>
      </c>
    </row>
    <row r="20" spans="1:8" ht="19.5" customHeight="1">
      <c r="A20" s="70">
        <v>19</v>
      </c>
      <c r="B20" s="60" t="s">
        <v>151</v>
      </c>
      <c r="C20" s="61" t="s">
        <v>70</v>
      </c>
      <c r="D20" s="12">
        <v>2</v>
      </c>
      <c r="E20" s="32">
        <v>7</v>
      </c>
      <c r="F20" s="32">
        <v>7</v>
      </c>
      <c r="G20" s="162">
        <v>10</v>
      </c>
      <c r="H20" s="121">
        <f t="shared" si="0"/>
        <v>26</v>
      </c>
    </row>
    <row r="21" spans="1:8" ht="19.5" customHeight="1" thickBot="1">
      <c r="A21" s="69">
        <v>20</v>
      </c>
      <c r="B21" s="62" t="s">
        <v>221</v>
      </c>
      <c r="C21" s="63" t="s">
        <v>33</v>
      </c>
      <c r="D21" s="14">
        <v>0</v>
      </c>
      <c r="E21" s="33">
        <v>0</v>
      </c>
      <c r="F21" s="33">
        <v>3</v>
      </c>
      <c r="G21" s="167">
        <v>0</v>
      </c>
      <c r="H21" s="122">
        <f t="shared" si="0"/>
        <v>3</v>
      </c>
    </row>
    <row r="22" spans="1:8" s="105" customFormat="1" ht="15.75">
      <c r="A22" s="113"/>
      <c r="B22" s="109" t="s">
        <v>452</v>
      </c>
      <c r="D22" s="106">
        <v>32</v>
      </c>
      <c r="E22" s="106"/>
      <c r="F22" s="106"/>
      <c r="G22" s="106">
        <v>9</v>
      </c>
      <c r="H22" s="106">
        <f>SUM(D22:G22)</f>
        <v>41</v>
      </c>
    </row>
    <row r="23" spans="4:7" ht="15.75" thickBot="1">
      <c r="D23" s="18"/>
      <c r="E23" s="15"/>
      <c r="F23" s="15"/>
      <c r="G23" s="15"/>
    </row>
    <row r="24" spans="1:8" s="29" customFormat="1" ht="16.5" thickBot="1">
      <c r="A24" s="28"/>
      <c r="B24" s="119" t="s">
        <v>352</v>
      </c>
      <c r="D24" s="19">
        <f>SUM(D2:D22)</f>
        <v>796</v>
      </c>
      <c r="E24" s="19">
        <f>SUM(E2:E22)</f>
        <v>541</v>
      </c>
      <c r="F24" s="19">
        <f>SUM(F2:F22)</f>
        <v>330</v>
      </c>
      <c r="G24" s="19">
        <f>SUM(G2:G22)</f>
        <v>348</v>
      </c>
      <c r="H24" s="118">
        <f>SUM(H2:H22)</f>
        <v>2015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8" r:id="rId1"/>
  <headerFooter alignWithMargins="0">
    <oddHeader>&amp;C&amp;"Arial,Tučné"&amp;16Sběr 2008 - 2009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K23" sqref="K2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4" t="s">
        <v>320</v>
      </c>
      <c r="B1" s="5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64">
        <v>1</v>
      </c>
      <c r="B2" s="58" t="s">
        <v>222</v>
      </c>
      <c r="C2" s="59" t="s">
        <v>85</v>
      </c>
      <c r="D2" s="16">
        <v>2</v>
      </c>
      <c r="E2" s="40">
        <v>0</v>
      </c>
      <c r="F2" s="40">
        <v>0</v>
      </c>
      <c r="G2" s="163">
        <v>9</v>
      </c>
      <c r="H2" s="102">
        <f>SUM(D2:G2)</f>
        <v>11</v>
      </c>
    </row>
    <row r="3" spans="1:8" ht="19.5" customHeight="1">
      <c r="A3" s="65">
        <v>2</v>
      </c>
      <c r="B3" s="60" t="s">
        <v>223</v>
      </c>
      <c r="C3" s="61" t="s">
        <v>24</v>
      </c>
      <c r="D3" s="12">
        <v>3</v>
      </c>
      <c r="E3" s="32">
        <v>0</v>
      </c>
      <c r="F3" s="32">
        <v>0</v>
      </c>
      <c r="G3" s="162">
        <f>73+35+30+23+56+30</f>
        <v>247</v>
      </c>
      <c r="H3" s="103">
        <f aca="true" t="shared" si="0" ref="H3:H27">SUM(D3:G3)</f>
        <v>250</v>
      </c>
    </row>
    <row r="4" spans="1:8" ht="19.5" customHeight="1">
      <c r="A4" s="65">
        <v>3</v>
      </c>
      <c r="B4" s="60" t="s">
        <v>224</v>
      </c>
      <c r="C4" s="61" t="s">
        <v>225</v>
      </c>
      <c r="D4" s="12">
        <v>22</v>
      </c>
      <c r="E4" s="32">
        <v>17</v>
      </c>
      <c r="F4" s="32">
        <v>2</v>
      </c>
      <c r="G4" s="162">
        <v>13</v>
      </c>
      <c r="H4" s="103">
        <f t="shared" si="0"/>
        <v>54</v>
      </c>
    </row>
    <row r="5" spans="1:8" ht="19.5" customHeight="1">
      <c r="A5" s="65">
        <v>4</v>
      </c>
      <c r="B5" s="60" t="s">
        <v>226</v>
      </c>
      <c r="C5" s="61" t="s">
        <v>31</v>
      </c>
      <c r="D5" s="12">
        <v>14</v>
      </c>
      <c r="E5" s="32">
        <v>21</v>
      </c>
      <c r="F5" s="32">
        <v>14</v>
      </c>
      <c r="G5" s="162">
        <v>27</v>
      </c>
      <c r="H5" s="103">
        <f t="shared" si="0"/>
        <v>76</v>
      </c>
    </row>
    <row r="6" spans="1:8" ht="19.5" customHeight="1">
      <c r="A6" s="65">
        <v>5</v>
      </c>
      <c r="B6" s="60" t="s">
        <v>227</v>
      </c>
      <c r="C6" s="61" t="s">
        <v>61</v>
      </c>
      <c r="D6" s="12">
        <f>4+184</f>
        <v>188</v>
      </c>
      <c r="E6" s="32">
        <v>0</v>
      </c>
      <c r="F6" s="32">
        <v>135</v>
      </c>
      <c r="G6" s="162">
        <v>18</v>
      </c>
      <c r="H6" s="103">
        <f t="shared" si="0"/>
        <v>341</v>
      </c>
    </row>
    <row r="7" spans="1:8" ht="19.5" customHeight="1">
      <c r="A7" s="65">
        <v>6</v>
      </c>
      <c r="B7" s="60" t="s">
        <v>205</v>
      </c>
      <c r="C7" s="61" t="s">
        <v>50</v>
      </c>
      <c r="D7" s="12">
        <v>23</v>
      </c>
      <c r="E7" s="32">
        <v>23</v>
      </c>
      <c r="F7" s="32">
        <v>0</v>
      </c>
      <c r="G7" s="162">
        <v>40</v>
      </c>
      <c r="H7" s="103">
        <f t="shared" si="0"/>
        <v>86</v>
      </c>
    </row>
    <row r="8" spans="1:8" ht="19.5" customHeight="1">
      <c r="A8" s="65">
        <v>7</v>
      </c>
      <c r="B8" s="60" t="s">
        <v>228</v>
      </c>
      <c r="C8" s="61" t="s">
        <v>76</v>
      </c>
      <c r="D8" s="12">
        <v>12</v>
      </c>
      <c r="E8" s="32">
        <v>15</v>
      </c>
      <c r="F8" s="32">
        <v>10</v>
      </c>
      <c r="G8" s="162">
        <v>10</v>
      </c>
      <c r="H8" s="103">
        <f t="shared" si="0"/>
        <v>47</v>
      </c>
    </row>
    <row r="9" spans="1:8" ht="19.5" customHeight="1">
      <c r="A9" s="65">
        <v>8</v>
      </c>
      <c r="B9" s="60" t="s">
        <v>229</v>
      </c>
      <c r="C9" s="61" t="s">
        <v>31</v>
      </c>
      <c r="D9" s="12">
        <f>72+108+37</f>
        <v>217</v>
      </c>
      <c r="E9" s="32">
        <v>163</v>
      </c>
      <c r="F9" s="32">
        <v>120</v>
      </c>
      <c r="G9" s="162">
        <v>36</v>
      </c>
      <c r="H9" s="103">
        <f t="shared" si="0"/>
        <v>536</v>
      </c>
    </row>
    <row r="10" spans="1:8" ht="19.5" customHeight="1">
      <c r="A10" s="65">
        <v>9</v>
      </c>
      <c r="B10" s="60" t="s">
        <v>230</v>
      </c>
      <c r="C10" s="61" t="s">
        <v>137</v>
      </c>
      <c r="D10" s="12">
        <v>26</v>
      </c>
      <c r="E10" s="32">
        <v>50</v>
      </c>
      <c r="F10" s="32">
        <v>16</v>
      </c>
      <c r="G10" s="162">
        <v>20</v>
      </c>
      <c r="H10" s="103">
        <f t="shared" si="0"/>
        <v>112</v>
      </c>
    </row>
    <row r="11" spans="1:8" ht="19.5" customHeight="1">
      <c r="A11" s="65">
        <v>10</v>
      </c>
      <c r="B11" s="60" t="s">
        <v>231</v>
      </c>
      <c r="C11" s="61" t="s">
        <v>17</v>
      </c>
      <c r="D11" s="12">
        <v>8</v>
      </c>
      <c r="E11" s="32">
        <v>34</v>
      </c>
      <c r="F11" s="32">
        <v>0</v>
      </c>
      <c r="G11" s="162">
        <f>6+12</f>
        <v>18</v>
      </c>
      <c r="H11" s="103">
        <f t="shared" si="0"/>
        <v>60</v>
      </c>
    </row>
    <row r="12" spans="1:8" ht="19.5" customHeight="1">
      <c r="A12" s="65">
        <v>11</v>
      </c>
      <c r="B12" s="60" t="s">
        <v>232</v>
      </c>
      <c r="C12" s="61" t="s">
        <v>137</v>
      </c>
      <c r="D12" s="12">
        <v>33</v>
      </c>
      <c r="E12" s="32">
        <v>0</v>
      </c>
      <c r="F12" s="32">
        <v>0</v>
      </c>
      <c r="G12" s="162">
        <v>22</v>
      </c>
      <c r="H12" s="103">
        <f t="shared" si="0"/>
        <v>55</v>
      </c>
    </row>
    <row r="13" spans="1:8" ht="19.5" customHeight="1">
      <c r="A13" s="65">
        <v>12</v>
      </c>
      <c r="B13" s="60" t="s">
        <v>233</v>
      </c>
      <c r="C13" s="61" t="s">
        <v>118</v>
      </c>
      <c r="D13" s="12">
        <v>15</v>
      </c>
      <c r="E13" s="32">
        <v>0</v>
      </c>
      <c r="F13" s="32">
        <v>0</v>
      </c>
      <c r="G13" s="162">
        <v>0</v>
      </c>
      <c r="H13" s="103">
        <f t="shared" si="0"/>
        <v>15</v>
      </c>
    </row>
    <row r="14" spans="1:8" ht="19.5" customHeight="1">
      <c r="A14" s="65">
        <v>13</v>
      </c>
      <c r="B14" s="60" t="s">
        <v>234</v>
      </c>
      <c r="C14" s="61" t="s">
        <v>110</v>
      </c>
      <c r="D14" s="12">
        <v>10</v>
      </c>
      <c r="E14" s="32">
        <v>0</v>
      </c>
      <c r="F14" s="32">
        <v>1</v>
      </c>
      <c r="G14" s="162">
        <v>19</v>
      </c>
      <c r="H14" s="103">
        <f t="shared" si="0"/>
        <v>30</v>
      </c>
    </row>
    <row r="15" spans="1:8" ht="19.5" customHeight="1">
      <c r="A15" s="65">
        <v>14</v>
      </c>
      <c r="B15" s="60" t="s">
        <v>235</v>
      </c>
      <c r="C15" s="61" t="s">
        <v>48</v>
      </c>
      <c r="D15" s="12">
        <v>23</v>
      </c>
      <c r="E15" s="32">
        <v>10.5</v>
      </c>
      <c r="F15" s="32">
        <v>0</v>
      </c>
      <c r="G15" s="162">
        <v>36</v>
      </c>
      <c r="H15" s="103">
        <f t="shared" si="0"/>
        <v>69.5</v>
      </c>
    </row>
    <row r="16" spans="1:8" ht="19.5" customHeight="1">
      <c r="A16" s="65">
        <v>15</v>
      </c>
      <c r="B16" s="60" t="s">
        <v>47</v>
      </c>
      <c r="C16" s="61" t="s">
        <v>236</v>
      </c>
      <c r="D16" s="12">
        <v>7</v>
      </c>
      <c r="E16" s="32">
        <v>8</v>
      </c>
      <c r="F16" s="32">
        <v>8</v>
      </c>
      <c r="G16" s="162">
        <v>27</v>
      </c>
      <c r="H16" s="103">
        <f t="shared" si="0"/>
        <v>50</v>
      </c>
    </row>
    <row r="17" spans="1:8" ht="19.5" customHeight="1">
      <c r="A17" s="65">
        <v>16</v>
      </c>
      <c r="B17" s="60" t="s">
        <v>49</v>
      </c>
      <c r="C17" s="61" t="s">
        <v>15</v>
      </c>
      <c r="D17" s="12">
        <v>10</v>
      </c>
      <c r="E17" s="32">
        <v>45</v>
      </c>
      <c r="F17" s="32">
        <v>30</v>
      </c>
      <c r="G17" s="162">
        <v>20</v>
      </c>
      <c r="H17" s="103">
        <f t="shared" si="0"/>
        <v>105</v>
      </c>
    </row>
    <row r="18" spans="1:8" ht="19.5" customHeight="1">
      <c r="A18" s="65">
        <v>17</v>
      </c>
      <c r="B18" s="60" t="s">
        <v>237</v>
      </c>
      <c r="C18" s="61" t="s">
        <v>110</v>
      </c>
      <c r="D18" s="12">
        <v>33</v>
      </c>
      <c r="E18" s="32">
        <v>25</v>
      </c>
      <c r="F18" s="32">
        <f>45+14</f>
        <v>59</v>
      </c>
      <c r="G18" s="162">
        <v>145</v>
      </c>
      <c r="H18" s="103">
        <f t="shared" si="0"/>
        <v>262</v>
      </c>
    </row>
    <row r="19" spans="1:8" ht="19.5" customHeight="1">
      <c r="A19" s="65">
        <v>18</v>
      </c>
      <c r="B19" s="60" t="s">
        <v>238</v>
      </c>
      <c r="C19" s="61" t="s">
        <v>31</v>
      </c>
      <c r="D19" s="12">
        <v>13</v>
      </c>
      <c r="E19" s="32">
        <v>11</v>
      </c>
      <c r="F19" s="32">
        <v>7</v>
      </c>
      <c r="G19" s="162">
        <v>10</v>
      </c>
      <c r="H19" s="103">
        <f t="shared" si="0"/>
        <v>41</v>
      </c>
    </row>
    <row r="20" spans="1:8" ht="19.5" customHeight="1">
      <c r="A20" s="65">
        <v>19</v>
      </c>
      <c r="B20" s="60" t="s">
        <v>239</v>
      </c>
      <c r="C20" s="61" t="s">
        <v>59</v>
      </c>
      <c r="D20" s="12">
        <v>0</v>
      </c>
      <c r="E20" s="32">
        <v>0</v>
      </c>
      <c r="F20" s="32">
        <v>0</v>
      </c>
      <c r="G20" s="162">
        <v>8</v>
      </c>
      <c r="H20" s="103">
        <f t="shared" si="0"/>
        <v>8</v>
      </c>
    </row>
    <row r="21" spans="1:8" ht="19.5" customHeight="1">
      <c r="A21" s="65">
        <v>20</v>
      </c>
      <c r="B21" s="60" t="s">
        <v>240</v>
      </c>
      <c r="C21" s="61" t="s">
        <v>70</v>
      </c>
      <c r="D21" s="13">
        <v>0</v>
      </c>
      <c r="E21" s="34">
        <v>0</v>
      </c>
      <c r="F21" s="34">
        <v>0</v>
      </c>
      <c r="G21" s="168">
        <v>6</v>
      </c>
      <c r="H21" s="103">
        <f t="shared" si="0"/>
        <v>6</v>
      </c>
    </row>
    <row r="22" spans="1:8" ht="19.5" customHeight="1">
      <c r="A22" s="65">
        <v>21</v>
      </c>
      <c r="B22" s="60" t="s">
        <v>241</v>
      </c>
      <c r="C22" s="61" t="s">
        <v>242</v>
      </c>
      <c r="D22" s="13">
        <v>0</v>
      </c>
      <c r="E22" s="34">
        <v>0</v>
      </c>
      <c r="F22" s="34">
        <v>0</v>
      </c>
      <c r="G22" s="168">
        <v>19</v>
      </c>
      <c r="H22" s="103">
        <f t="shared" si="0"/>
        <v>19</v>
      </c>
    </row>
    <row r="23" spans="1:8" ht="19.5" customHeight="1">
      <c r="A23" s="65">
        <v>22</v>
      </c>
      <c r="B23" s="60" t="s">
        <v>395</v>
      </c>
      <c r="C23" s="61" t="s">
        <v>80</v>
      </c>
      <c r="D23" s="13">
        <v>0</v>
      </c>
      <c r="E23" s="34">
        <v>0</v>
      </c>
      <c r="F23" s="34">
        <v>1</v>
      </c>
      <c r="G23" s="168">
        <v>0</v>
      </c>
      <c r="H23" s="103">
        <f t="shared" si="0"/>
        <v>1</v>
      </c>
    </row>
    <row r="24" spans="1:8" ht="19.5" customHeight="1">
      <c r="A24" s="65">
        <v>23</v>
      </c>
      <c r="B24" s="60" t="s">
        <v>243</v>
      </c>
      <c r="C24" s="61" t="s">
        <v>33</v>
      </c>
      <c r="D24" s="12">
        <v>3</v>
      </c>
      <c r="E24" s="32">
        <v>0</v>
      </c>
      <c r="F24" s="32">
        <v>0</v>
      </c>
      <c r="G24" s="162">
        <v>17</v>
      </c>
      <c r="H24" s="103">
        <f t="shared" si="0"/>
        <v>20</v>
      </c>
    </row>
    <row r="25" spans="1:8" ht="19.5" customHeight="1">
      <c r="A25" s="65">
        <v>24</v>
      </c>
      <c r="B25" s="60" t="s">
        <v>244</v>
      </c>
      <c r="C25" s="61" t="s">
        <v>135</v>
      </c>
      <c r="D25" s="13">
        <f>21+30+11</f>
        <v>62</v>
      </c>
      <c r="E25" s="34">
        <v>0</v>
      </c>
      <c r="F25" s="34">
        <v>60</v>
      </c>
      <c r="G25" s="168">
        <v>0</v>
      </c>
      <c r="H25" s="103">
        <f t="shared" si="0"/>
        <v>122</v>
      </c>
    </row>
    <row r="26" spans="1:8" ht="19.5" customHeight="1">
      <c r="A26" s="65">
        <v>25</v>
      </c>
      <c r="B26" s="60" t="s">
        <v>147</v>
      </c>
      <c r="C26" s="61" t="s">
        <v>245</v>
      </c>
      <c r="D26" s="12">
        <v>0</v>
      </c>
      <c r="E26" s="32">
        <v>0</v>
      </c>
      <c r="F26" s="32">
        <v>5</v>
      </c>
      <c r="G26" s="162">
        <v>26</v>
      </c>
      <c r="H26" s="103">
        <f t="shared" si="0"/>
        <v>31</v>
      </c>
    </row>
    <row r="27" spans="1:8" ht="19.5" customHeight="1" thickBot="1">
      <c r="A27" s="69">
        <v>26</v>
      </c>
      <c r="B27" s="62" t="s">
        <v>246</v>
      </c>
      <c r="C27" s="63" t="s">
        <v>247</v>
      </c>
      <c r="D27" s="14">
        <v>9</v>
      </c>
      <c r="E27" s="33">
        <v>0</v>
      </c>
      <c r="F27" s="33">
        <v>0</v>
      </c>
      <c r="G27" s="167">
        <v>17</v>
      </c>
      <c r="H27" s="104">
        <f t="shared" si="0"/>
        <v>26</v>
      </c>
    </row>
    <row r="28" spans="1:8" s="105" customFormat="1" ht="15.75">
      <c r="A28" s="114"/>
      <c r="B28" s="109" t="s">
        <v>452</v>
      </c>
      <c r="D28" s="106"/>
      <c r="E28" s="106"/>
      <c r="F28" s="110"/>
      <c r="G28" s="110"/>
      <c r="H28" s="106">
        <f>SUM(D28:G28)</f>
        <v>0</v>
      </c>
    </row>
    <row r="29" spans="4:7" ht="15.75" thickBot="1">
      <c r="D29" s="18"/>
      <c r="E29" s="26"/>
      <c r="F29" s="15"/>
      <c r="G29" s="15"/>
    </row>
    <row r="30" spans="1:8" s="29" customFormat="1" ht="16.5" thickBot="1">
      <c r="A30" s="28"/>
      <c r="B30" s="119" t="s">
        <v>352</v>
      </c>
      <c r="D30" s="19">
        <f>SUM(D2:D27)</f>
        <v>733</v>
      </c>
      <c r="E30" s="27">
        <f>SUM(E2:E28)</f>
        <v>422.5</v>
      </c>
      <c r="F30" s="19">
        <f>SUM(F2:F27)</f>
        <v>468</v>
      </c>
      <c r="G30" s="19">
        <f>SUM(G2:G28)</f>
        <v>810</v>
      </c>
      <c r="H30" s="118">
        <f>SUM(H2:H28)</f>
        <v>2433.5</v>
      </c>
    </row>
    <row r="31" ht="12.75">
      <c r="D31" s="2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78" r:id="rId1"/>
  <headerFooter alignWithMargins="0">
    <oddHeader>&amp;C&amp;"Arial,Tučné"&amp;16Sběr 2008 - 2009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J26" sqref="J26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4" t="s">
        <v>345</v>
      </c>
      <c r="B1" s="5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84">
        <v>1</v>
      </c>
      <c r="B2" s="71" t="s">
        <v>249</v>
      </c>
      <c r="C2" s="72" t="s">
        <v>41</v>
      </c>
      <c r="D2" s="16">
        <v>0</v>
      </c>
      <c r="E2" s="40">
        <v>0</v>
      </c>
      <c r="F2" s="40">
        <v>0</v>
      </c>
      <c r="G2" s="163">
        <v>8</v>
      </c>
      <c r="H2" s="102">
        <f>SUM(D2:G2)</f>
        <v>8</v>
      </c>
    </row>
    <row r="3" spans="1:8" ht="19.5" customHeight="1">
      <c r="A3" s="85">
        <v>2</v>
      </c>
      <c r="B3" s="73" t="s">
        <v>250</v>
      </c>
      <c r="C3" s="74" t="s">
        <v>97</v>
      </c>
      <c r="D3" s="12">
        <v>43</v>
      </c>
      <c r="E3" s="32">
        <v>0</v>
      </c>
      <c r="F3" s="32">
        <v>0</v>
      </c>
      <c r="G3" s="162">
        <v>0</v>
      </c>
      <c r="H3" s="103">
        <f aca="true" t="shared" si="0" ref="H3:H27">SUM(D3:G3)</f>
        <v>43</v>
      </c>
    </row>
    <row r="4" spans="1:8" ht="19.5" customHeight="1">
      <c r="A4" s="85">
        <v>3</v>
      </c>
      <c r="B4" s="73" t="s">
        <v>251</v>
      </c>
      <c r="C4" s="74" t="s">
        <v>252</v>
      </c>
      <c r="D4" s="12">
        <v>12</v>
      </c>
      <c r="E4" s="32">
        <v>17</v>
      </c>
      <c r="F4" s="32">
        <v>0</v>
      </c>
      <c r="G4" s="162">
        <v>0</v>
      </c>
      <c r="H4" s="103">
        <f t="shared" si="0"/>
        <v>29</v>
      </c>
    </row>
    <row r="5" spans="1:8" ht="19.5" customHeight="1">
      <c r="A5" s="85">
        <v>4</v>
      </c>
      <c r="B5" s="73" t="s">
        <v>253</v>
      </c>
      <c r="C5" s="74" t="s">
        <v>254</v>
      </c>
      <c r="D5" s="12">
        <v>69</v>
      </c>
      <c r="E5" s="32">
        <v>135</v>
      </c>
      <c r="F5" s="32">
        <v>75</v>
      </c>
      <c r="G5" s="162">
        <v>50</v>
      </c>
      <c r="H5" s="103">
        <f t="shared" si="0"/>
        <v>329</v>
      </c>
    </row>
    <row r="6" spans="1:8" ht="19.5" customHeight="1">
      <c r="A6" s="85">
        <v>5</v>
      </c>
      <c r="B6" s="73" t="s">
        <v>255</v>
      </c>
      <c r="C6" s="74" t="s">
        <v>97</v>
      </c>
      <c r="D6" s="12">
        <v>95</v>
      </c>
      <c r="E6" s="32">
        <f>84+84+61</f>
        <v>229</v>
      </c>
      <c r="F6" s="32">
        <v>153</v>
      </c>
      <c r="G6" s="162">
        <v>300</v>
      </c>
      <c r="H6" s="103">
        <f t="shared" si="0"/>
        <v>777</v>
      </c>
    </row>
    <row r="7" spans="1:8" ht="19.5" customHeight="1">
      <c r="A7" s="85">
        <v>6</v>
      </c>
      <c r="B7" s="73" t="s">
        <v>130</v>
      </c>
      <c r="C7" s="74" t="s">
        <v>50</v>
      </c>
      <c r="D7" s="12">
        <v>0</v>
      </c>
      <c r="E7" s="32">
        <v>0</v>
      </c>
      <c r="F7" s="32">
        <v>10</v>
      </c>
      <c r="G7" s="162">
        <v>0</v>
      </c>
      <c r="H7" s="103">
        <f t="shared" si="0"/>
        <v>10</v>
      </c>
    </row>
    <row r="8" spans="1:8" ht="19.5" customHeight="1">
      <c r="A8" s="85">
        <v>7</v>
      </c>
      <c r="B8" s="73" t="s">
        <v>256</v>
      </c>
      <c r="C8" s="74" t="s">
        <v>50</v>
      </c>
      <c r="D8" s="12">
        <v>72</v>
      </c>
      <c r="E8" s="32">
        <v>59</v>
      </c>
      <c r="F8" s="32">
        <v>100</v>
      </c>
      <c r="G8" s="162">
        <v>82</v>
      </c>
      <c r="H8" s="103">
        <f t="shared" si="0"/>
        <v>313</v>
      </c>
    </row>
    <row r="9" spans="1:8" ht="19.5" customHeight="1">
      <c r="A9" s="85">
        <v>8</v>
      </c>
      <c r="B9" s="73" t="s">
        <v>257</v>
      </c>
      <c r="C9" s="74" t="s">
        <v>258</v>
      </c>
      <c r="D9" s="12">
        <v>18</v>
      </c>
      <c r="E9" s="32">
        <v>14</v>
      </c>
      <c r="F9" s="32">
        <v>30</v>
      </c>
      <c r="G9" s="162">
        <v>10</v>
      </c>
      <c r="H9" s="103">
        <f t="shared" si="0"/>
        <v>72</v>
      </c>
    </row>
    <row r="10" spans="1:8" ht="19.5" customHeight="1">
      <c r="A10" s="85">
        <v>9</v>
      </c>
      <c r="B10" s="73" t="s">
        <v>259</v>
      </c>
      <c r="C10" s="74" t="s">
        <v>260</v>
      </c>
      <c r="D10" s="12">
        <f>98+51</f>
        <v>149</v>
      </c>
      <c r="E10" s="32">
        <v>38</v>
      </c>
      <c r="F10" s="32">
        <f>49+29</f>
        <v>78</v>
      </c>
      <c r="G10" s="162">
        <v>24</v>
      </c>
      <c r="H10" s="103">
        <f t="shared" si="0"/>
        <v>289</v>
      </c>
    </row>
    <row r="11" spans="1:8" ht="19.5" customHeight="1">
      <c r="A11" s="85">
        <v>10</v>
      </c>
      <c r="B11" s="73" t="s">
        <v>261</v>
      </c>
      <c r="C11" s="74" t="s">
        <v>19</v>
      </c>
      <c r="D11" s="12">
        <v>0</v>
      </c>
      <c r="E11" s="32">
        <v>5</v>
      </c>
      <c r="F11" s="32">
        <v>7</v>
      </c>
      <c r="G11" s="162">
        <v>0</v>
      </c>
      <c r="H11" s="103">
        <f t="shared" si="0"/>
        <v>12</v>
      </c>
    </row>
    <row r="12" spans="1:8" ht="19.5" customHeight="1">
      <c r="A12" s="85">
        <v>11</v>
      </c>
      <c r="B12" s="73" t="s">
        <v>262</v>
      </c>
      <c r="C12" s="74" t="s">
        <v>263</v>
      </c>
      <c r="D12" s="12">
        <v>3</v>
      </c>
      <c r="E12" s="32">
        <v>7</v>
      </c>
      <c r="F12" s="32">
        <v>25</v>
      </c>
      <c r="G12" s="162">
        <v>7</v>
      </c>
      <c r="H12" s="103">
        <f t="shared" si="0"/>
        <v>42</v>
      </c>
    </row>
    <row r="13" spans="1:8" ht="19.5" customHeight="1">
      <c r="A13" s="85">
        <v>12</v>
      </c>
      <c r="B13" s="73" t="s">
        <v>264</v>
      </c>
      <c r="C13" s="74" t="s">
        <v>265</v>
      </c>
      <c r="D13" s="12">
        <v>0</v>
      </c>
      <c r="E13" s="32">
        <v>1</v>
      </c>
      <c r="F13" s="32">
        <v>0</v>
      </c>
      <c r="G13" s="162">
        <v>3</v>
      </c>
      <c r="H13" s="103">
        <f t="shared" si="0"/>
        <v>4</v>
      </c>
    </row>
    <row r="14" spans="1:8" ht="19.5" customHeight="1">
      <c r="A14" s="85">
        <v>13</v>
      </c>
      <c r="B14" s="73" t="s">
        <v>266</v>
      </c>
      <c r="C14" s="74" t="s">
        <v>9</v>
      </c>
      <c r="D14" s="12">
        <v>0</v>
      </c>
      <c r="E14" s="32">
        <v>0</v>
      </c>
      <c r="F14" s="32">
        <v>82</v>
      </c>
      <c r="G14" s="162">
        <v>0</v>
      </c>
      <c r="H14" s="103">
        <f t="shared" si="0"/>
        <v>82</v>
      </c>
    </row>
    <row r="15" spans="1:8" ht="19.5" customHeight="1">
      <c r="A15" s="85">
        <v>14</v>
      </c>
      <c r="B15" s="73" t="s">
        <v>267</v>
      </c>
      <c r="C15" s="74" t="s">
        <v>44</v>
      </c>
      <c r="D15" s="12">
        <v>10</v>
      </c>
      <c r="E15" s="32">
        <v>10</v>
      </c>
      <c r="F15" s="32">
        <v>7</v>
      </c>
      <c r="G15" s="162">
        <v>10</v>
      </c>
      <c r="H15" s="103">
        <f t="shared" si="0"/>
        <v>37</v>
      </c>
    </row>
    <row r="16" spans="1:8" ht="19.5" customHeight="1">
      <c r="A16" s="124">
        <v>15</v>
      </c>
      <c r="B16" s="73" t="s">
        <v>115</v>
      </c>
      <c r="C16" s="74" t="s">
        <v>268</v>
      </c>
      <c r="D16" s="12">
        <v>4</v>
      </c>
      <c r="E16" s="32">
        <v>0</v>
      </c>
      <c r="F16" s="32">
        <v>9</v>
      </c>
      <c r="G16" s="162">
        <v>0</v>
      </c>
      <c r="H16" s="103">
        <f t="shared" si="0"/>
        <v>13</v>
      </c>
    </row>
    <row r="17" spans="1:8" ht="19.5" customHeight="1">
      <c r="A17" s="124">
        <v>16</v>
      </c>
      <c r="B17" s="73" t="s">
        <v>269</v>
      </c>
      <c r="C17" s="74" t="s">
        <v>270</v>
      </c>
      <c r="D17" s="12">
        <v>0</v>
      </c>
      <c r="E17" s="32">
        <v>0</v>
      </c>
      <c r="F17" s="32">
        <v>0</v>
      </c>
      <c r="G17" s="162">
        <v>6</v>
      </c>
      <c r="H17" s="103">
        <f t="shared" si="0"/>
        <v>6</v>
      </c>
    </row>
    <row r="18" spans="1:8" ht="19.5" customHeight="1">
      <c r="A18" s="124">
        <v>17</v>
      </c>
      <c r="B18" s="73" t="s">
        <v>271</v>
      </c>
      <c r="C18" s="74" t="s">
        <v>17</v>
      </c>
      <c r="D18" s="12">
        <v>42</v>
      </c>
      <c r="E18" s="32">
        <v>27</v>
      </c>
      <c r="F18" s="32">
        <v>13</v>
      </c>
      <c r="G18" s="162">
        <v>10</v>
      </c>
      <c r="H18" s="103">
        <f t="shared" si="0"/>
        <v>92</v>
      </c>
    </row>
    <row r="19" spans="1:8" ht="19.5" customHeight="1">
      <c r="A19" s="124">
        <v>18</v>
      </c>
      <c r="B19" s="73" t="s">
        <v>272</v>
      </c>
      <c r="C19" s="74" t="s">
        <v>270</v>
      </c>
      <c r="D19" s="134">
        <v>20</v>
      </c>
      <c r="E19" s="32">
        <v>18</v>
      </c>
      <c r="F19" s="32">
        <v>16</v>
      </c>
      <c r="G19" s="162">
        <v>16</v>
      </c>
      <c r="H19" s="103">
        <f t="shared" si="0"/>
        <v>70</v>
      </c>
    </row>
    <row r="20" spans="1:8" ht="19.5" customHeight="1">
      <c r="A20" s="124">
        <v>19</v>
      </c>
      <c r="B20" s="73" t="s">
        <v>314</v>
      </c>
      <c r="C20" s="74" t="s">
        <v>31</v>
      </c>
      <c r="D20" s="13">
        <v>0</v>
      </c>
      <c r="E20" s="34">
        <v>0</v>
      </c>
      <c r="F20" s="34">
        <v>0</v>
      </c>
      <c r="G20" s="168">
        <v>0</v>
      </c>
      <c r="H20" s="103">
        <f t="shared" si="0"/>
        <v>0</v>
      </c>
    </row>
    <row r="21" spans="1:8" ht="19.5" customHeight="1">
      <c r="A21" s="124">
        <v>20</v>
      </c>
      <c r="B21" s="86" t="s">
        <v>173</v>
      </c>
      <c r="C21" s="74" t="s">
        <v>64</v>
      </c>
      <c r="D21" s="13">
        <v>0</v>
      </c>
      <c r="E21" s="34">
        <v>0</v>
      </c>
      <c r="F21" s="34">
        <v>5</v>
      </c>
      <c r="G21" s="168">
        <v>0</v>
      </c>
      <c r="H21" s="103">
        <f t="shared" si="0"/>
        <v>5</v>
      </c>
    </row>
    <row r="22" spans="1:8" ht="19.5" customHeight="1">
      <c r="A22" s="124">
        <v>21</v>
      </c>
      <c r="B22" s="73" t="s">
        <v>274</v>
      </c>
      <c r="C22" s="74" t="s">
        <v>57</v>
      </c>
      <c r="D22" s="12">
        <v>43</v>
      </c>
      <c r="E22" s="32">
        <v>0</v>
      </c>
      <c r="F22" s="32">
        <v>0</v>
      </c>
      <c r="G22" s="162">
        <v>0</v>
      </c>
      <c r="H22" s="103">
        <f t="shared" si="0"/>
        <v>43</v>
      </c>
    </row>
    <row r="23" spans="1:8" ht="19.5" customHeight="1">
      <c r="A23" s="124">
        <v>22</v>
      </c>
      <c r="B23" s="73" t="s">
        <v>122</v>
      </c>
      <c r="C23" s="74" t="s">
        <v>275</v>
      </c>
      <c r="D23" s="13">
        <v>45</v>
      </c>
      <c r="E23" s="34">
        <v>8</v>
      </c>
      <c r="F23" s="34">
        <v>8</v>
      </c>
      <c r="G23" s="168">
        <v>5</v>
      </c>
      <c r="H23" s="103">
        <f t="shared" si="0"/>
        <v>66</v>
      </c>
    </row>
    <row r="24" spans="1:8" ht="19.5" customHeight="1">
      <c r="A24" s="124">
        <v>23</v>
      </c>
      <c r="B24" s="73" t="s">
        <v>396</v>
      </c>
      <c r="C24" s="74" t="s">
        <v>66</v>
      </c>
      <c r="D24" s="12">
        <v>22</v>
      </c>
      <c r="E24" s="32">
        <v>9</v>
      </c>
      <c r="F24" s="32">
        <v>38</v>
      </c>
      <c r="G24" s="162">
        <v>0</v>
      </c>
      <c r="H24" s="103">
        <f t="shared" si="0"/>
        <v>69</v>
      </c>
    </row>
    <row r="25" spans="1:8" ht="19.5" customHeight="1">
      <c r="A25" s="124">
        <v>24</v>
      </c>
      <c r="B25" s="73" t="s">
        <v>276</v>
      </c>
      <c r="C25" s="74" t="s">
        <v>116</v>
      </c>
      <c r="D25" s="13">
        <v>0</v>
      </c>
      <c r="E25" s="34">
        <v>0</v>
      </c>
      <c r="F25" s="34">
        <v>5</v>
      </c>
      <c r="G25" s="168">
        <v>0</v>
      </c>
      <c r="H25" s="103">
        <f t="shared" si="0"/>
        <v>5</v>
      </c>
    </row>
    <row r="26" spans="1:8" ht="19.5" customHeight="1">
      <c r="A26" s="124"/>
      <c r="B26" s="73" t="s">
        <v>277</v>
      </c>
      <c r="C26" s="74" t="s">
        <v>53</v>
      </c>
      <c r="D26" s="13">
        <v>45</v>
      </c>
      <c r="E26" s="34">
        <v>6</v>
      </c>
      <c r="F26" s="34" t="s">
        <v>459</v>
      </c>
      <c r="G26" s="168" t="s">
        <v>459</v>
      </c>
      <c r="H26" s="103">
        <f t="shared" si="0"/>
        <v>51</v>
      </c>
    </row>
    <row r="27" spans="1:8" ht="19.5" customHeight="1" thickBot="1">
      <c r="A27" s="125">
        <v>25</v>
      </c>
      <c r="B27" s="75" t="s">
        <v>278</v>
      </c>
      <c r="C27" s="76" t="s">
        <v>97</v>
      </c>
      <c r="D27" s="14">
        <v>0</v>
      </c>
      <c r="E27" s="33">
        <v>0</v>
      </c>
      <c r="F27" s="33">
        <v>10</v>
      </c>
      <c r="G27" s="167">
        <v>0</v>
      </c>
      <c r="H27" s="104">
        <f t="shared" si="0"/>
        <v>10</v>
      </c>
    </row>
    <row r="28" spans="1:8" s="105" customFormat="1" ht="15.75">
      <c r="A28" s="113"/>
      <c r="B28" s="109" t="s">
        <v>452</v>
      </c>
      <c r="D28" s="106">
        <f>22+15</f>
        <v>37</v>
      </c>
      <c r="E28" s="106">
        <v>33</v>
      </c>
      <c r="F28" s="106"/>
      <c r="G28" s="106"/>
      <c r="H28" s="106">
        <f>SUM(D28:G28)</f>
        <v>70</v>
      </c>
    </row>
    <row r="29" spans="4:7" ht="15.75" thickBot="1">
      <c r="D29" s="17"/>
      <c r="E29" s="15"/>
      <c r="F29" s="15"/>
      <c r="G29" s="15"/>
    </row>
    <row r="30" spans="1:8" s="29" customFormat="1" ht="16.5" thickBot="1">
      <c r="A30" s="28"/>
      <c r="B30" s="119" t="s">
        <v>352</v>
      </c>
      <c r="D30" s="19">
        <f>SUM(D2:D28)</f>
        <v>729</v>
      </c>
      <c r="E30" s="19">
        <f>SUM(E2:E28)</f>
        <v>616</v>
      </c>
      <c r="F30" s="19">
        <f>SUM(F2:F28)</f>
        <v>671</v>
      </c>
      <c r="G30" s="19">
        <f>SUM(G2:G29)</f>
        <v>531</v>
      </c>
      <c r="H30" s="118">
        <f>SUM(H2:H28)</f>
        <v>2547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78" r:id="rId1"/>
  <headerFooter alignWithMargins="0">
    <oddHeader>&amp;C&amp;"Arial,Tučné"&amp;16Sběr 2008 - 2009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L19" sqref="L19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6" t="s">
        <v>346</v>
      </c>
      <c r="B1" s="5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7">
        <v>1</v>
      </c>
      <c r="B2" s="78" t="s">
        <v>280</v>
      </c>
      <c r="C2" s="79" t="s">
        <v>160</v>
      </c>
      <c r="D2" s="16">
        <v>57</v>
      </c>
      <c r="E2" s="40">
        <v>0</v>
      </c>
      <c r="F2" s="40">
        <v>0</v>
      </c>
      <c r="G2" s="163">
        <v>0</v>
      </c>
      <c r="H2" s="102">
        <f>SUM(D2:G2)</f>
        <v>57</v>
      </c>
    </row>
    <row r="3" spans="1:8" ht="19.5" customHeight="1">
      <c r="A3" s="8">
        <v>2</v>
      </c>
      <c r="B3" s="80" t="s">
        <v>281</v>
      </c>
      <c r="C3" s="81" t="s">
        <v>31</v>
      </c>
      <c r="D3" s="12">
        <v>4</v>
      </c>
      <c r="E3" s="32">
        <v>16</v>
      </c>
      <c r="F3" s="32">
        <v>27</v>
      </c>
      <c r="G3" s="162">
        <f>16+10</f>
        <v>26</v>
      </c>
      <c r="H3" s="103">
        <f aca="true" t="shared" si="0" ref="H3:H23">SUM(D3:G3)</f>
        <v>73</v>
      </c>
    </row>
    <row r="4" spans="1:8" ht="19.5" customHeight="1">
      <c r="A4" s="8">
        <v>3</v>
      </c>
      <c r="B4" s="80" t="s">
        <v>282</v>
      </c>
      <c r="C4" s="81" t="s">
        <v>64</v>
      </c>
      <c r="D4" s="12">
        <v>2</v>
      </c>
      <c r="E4" s="32">
        <v>2</v>
      </c>
      <c r="F4" s="32">
        <v>0</v>
      </c>
      <c r="G4" s="162">
        <v>0</v>
      </c>
      <c r="H4" s="103">
        <f t="shared" si="0"/>
        <v>4</v>
      </c>
    </row>
    <row r="5" spans="1:8" ht="19.5" customHeight="1">
      <c r="A5" s="8">
        <v>4</v>
      </c>
      <c r="B5" s="80" t="s">
        <v>283</v>
      </c>
      <c r="C5" s="81" t="s">
        <v>258</v>
      </c>
      <c r="D5" s="12">
        <v>140</v>
      </c>
      <c r="E5" s="32">
        <v>56</v>
      </c>
      <c r="F5" s="32">
        <v>24</v>
      </c>
      <c r="G5" s="162">
        <v>18</v>
      </c>
      <c r="H5" s="103">
        <f t="shared" si="0"/>
        <v>238</v>
      </c>
    </row>
    <row r="6" spans="1:8" ht="19.5" customHeight="1">
      <c r="A6" s="8">
        <v>5</v>
      </c>
      <c r="B6" s="80" t="s">
        <v>283</v>
      </c>
      <c r="C6" s="81" t="s">
        <v>15</v>
      </c>
      <c r="D6" s="12">
        <v>23</v>
      </c>
      <c r="E6" s="32">
        <f>21+14</f>
        <v>35</v>
      </c>
      <c r="F6" s="32">
        <v>10</v>
      </c>
      <c r="G6" s="162">
        <v>10</v>
      </c>
      <c r="H6" s="103">
        <f t="shared" si="0"/>
        <v>78</v>
      </c>
    </row>
    <row r="7" spans="1:8" ht="19.5" customHeight="1">
      <c r="A7" s="8">
        <v>6</v>
      </c>
      <c r="B7" s="80" t="s">
        <v>284</v>
      </c>
      <c r="C7" s="81" t="s">
        <v>285</v>
      </c>
      <c r="D7" s="12">
        <v>47</v>
      </c>
      <c r="E7" s="32">
        <f>29+22</f>
        <v>51</v>
      </c>
      <c r="F7" s="32">
        <v>0</v>
      </c>
      <c r="G7" s="162">
        <v>54</v>
      </c>
      <c r="H7" s="103">
        <f t="shared" si="0"/>
        <v>152</v>
      </c>
    </row>
    <row r="8" spans="1:8" ht="19.5" customHeight="1">
      <c r="A8" s="8">
        <v>7</v>
      </c>
      <c r="B8" s="80" t="s">
        <v>287</v>
      </c>
      <c r="C8" s="81" t="s">
        <v>285</v>
      </c>
      <c r="D8" s="12">
        <v>0</v>
      </c>
      <c r="E8" s="32">
        <v>0</v>
      </c>
      <c r="F8" s="32">
        <v>0</v>
      </c>
      <c r="G8" s="162">
        <v>0</v>
      </c>
      <c r="H8" s="103">
        <f t="shared" si="0"/>
        <v>0</v>
      </c>
    </row>
    <row r="9" spans="1:8" ht="19.5" customHeight="1">
      <c r="A9" s="8">
        <v>8</v>
      </c>
      <c r="B9" s="80" t="s">
        <v>288</v>
      </c>
      <c r="C9" s="81" t="s">
        <v>70</v>
      </c>
      <c r="D9" s="12">
        <v>0</v>
      </c>
      <c r="E9" s="32">
        <v>0</v>
      </c>
      <c r="F9" s="32">
        <v>0</v>
      </c>
      <c r="G9" s="162">
        <v>0</v>
      </c>
      <c r="H9" s="103">
        <f t="shared" si="0"/>
        <v>0</v>
      </c>
    </row>
    <row r="10" spans="1:8" ht="19.5" customHeight="1">
      <c r="A10" s="8">
        <v>9</v>
      </c>
      <c r="B10" s="80" t="s">
        <v>289</v>
      </c>
      <c r="C10" s="81" t="s">
        <v>24</v>
      </c>
      <c r="D10" s="12">
        <f>66+41</f>
        <v>107</v>
      </c>
      <c r="E10" s="32">
        <v>19</v>
      </c>
      <c r="F10" s="32">
        <v>58</v>
      </c>
      <c r="G10" s="162">
        <v>37</v>
      </c>
      <c r="H10" s="103">
        <f t="shared" si="0"/>
        <v>221</v>
      </c>
    </row>
    <row r="11" spans="1:8" ht="19.5" customHeight="1">
      <c r="A11" s="8">
        <v>10</v>
      </c>
      <c r="B11" s="80" t="s">
        <v>290</v>
      </c>
      <c r="C11" s="81" t="s">
        <v>118</v>
      </c>
      <c r="D11" s="12">
        <v>0</v>
      </c>
      <c r="E11" s="32">
        <v>0</v>
      </c>
      <c r="F11" s="32">
        <v>0</v>
      </c>
      <c r="G11" s="162">
        <v>0</v>
      </c>
      <c r="H11" s="103">
        <f t="shared" si="0"/>
        <v>0</v>
      </c>
    </row>
    <row r="12" spans="1:8" ht="19.5" customHeight="1">
      <c r="A12" s="8">
        <v>11</v>
      </c>
      <c r="B12" s="80" t="s">
        <v>291</v>
      </c>
      <c r="C12" s="81" t="s">
        <v>97</v>
      </c>
      <c r="D12" s="12">
        <f>24+34</f>
        <v>58</v>
      </c>
      <c r="E12" s="32">
        <v>14</v>
      </c>
      <c r="F12" s="32">
        <v>12</v>
      </c>
      <c r="G12" s="162">
        <v>0</v>
      </c>
      <c r="H12" s="103">
        <f t="shared" si="0"/>
        <v>84</v>
      </c>
    </row>
    <row r="13" spans="1:8" ht="19.5" customHeight="1">
      <c r="A13" s="8">
        <v>12</v>
      </c>
      <c r="B13" s="80" t="s">
        <v>292</v>
      </c>
      <c r="C13" s="81" t="s">
        <v>121</v>
      </c>
      <c r="D13" s="12">
        <v>0</v>
      </c>
      <c r="E13" s="32">
        <v>12</v>
      </c>
      <c r="F13" s="32">
        <v>0</v>
      </c>
      <c r="G13" s="162">
        <v>0</v>
      </c>
      <c r="H13" s="103">
        <f t="shared" si="0"/>
        <v>12</v>
      </c>
    </row>
    <row r="14" spans="1:8" ht="19.5" customHeight="1">
      <c r="A14" s="8">
        <v>13</v>
      </c>
      <c r="B14" s="80" t="s">
        <v>238</v>
      </c>
      <c r="C14" s="81" t="s">
        <v>4</v>
      </c>
      <c r="D14" s="12">
        <v>0</v>
      </c>
      <c r="E14" s="32">
        <v>0</v>
      </c>
      <c r="F14" s="32">
        <v>0</v>
      </c>
      <c r="G14" s="162">
        <v>0</v>
      </c>
      <c r="H14" s="103">
        <f t="shared" si="0"/>
        <v>0</v>
      </c>
    </row>
    <row r="15" spans="1:8" ht="19.5" customHeight="1">
      <c r="A15" s="8">
        <v>14</v>
      </c>
      <c r="B15" s="80" t="s">
        <v>56</v>
      </c>
      <c r="C15" s="81" t="s">
        <v>85</v>
      </c>
      <c r="D15" s="12">
        <v>0</v>
      </c>
      <c r="E15" s="32">
        <v>0</v>
      </c>
      <c r="F15" s="155">
        <v>580</v>
      </c>
      <c r="G15" s="162">
        <v>0</v>
      </c>
      <c r="H15" s="103">
        <f t="shared" si="0"/>
        <v>580</v>
      </c>
    </row>
    <row r="16" spans="1:8" ht="19.5" customHeight="1">
      <c r="A16" s="8">
        <v>15</v>
      </c>
      <c r="B16" s="80" t="s">
        <v>140</v>
      </c>
      <c r="C16" s="81" t="s">
        <v>137</v>
      </c>
      <c r="D16" s="12">
        <v>140</v>
      </c>
      <c r="E16" s="32">
        <v>109</v>
      </c>
      <c r="F16" s="32">
        <v>130</v>
      </c>
      <c r="G16" s="162">
        <v>351</v>
      </c>
      <c r="H16" s="103">
        <f t="shared" si="0"/>
        <v>730</v>
      </c>
    </row>
    <row r="17" spans="1:8" ht="19.5" customHeight="1">
      <c r="A17" s="8">
        <v>16</v>
      </c>
      <c r="B17" s="80" t="s">
        <v>293</v>
      </c>
      <c r="C17" s="81" t="s">
        <v>193</v>
      </c>
      <c r="D17" s="12">
        <v>6</v>
      </c>
      <c r="E17" s="32">
        <v>18</v>
      </c>
      <c r="F17" s="32">
        <v>10</v>
      </c>
      <c r="G17" s="162">
        <v>10</v>
      </c>
      <c r="H17" s="103">
        <f t="shared" si="0"/>
        <v>44</v>
      </c>
    </row>
    <row r="18" spans="1:8" ht="19.5" customHeight="1">
      <c r="A18" s="8">
        <v>17</v>
      </c>
      <c r="B18" s="80" t="s">
        <v>171</v>
      </c>
      <c r="C18" s="81" t="s">
        <v>15</v>
      </c>
      <c r="D18" s="12">
        <v>52</v>
      </c>
      <c r="E18" s="32">
        <f>12+12+9.5</f>
        <v>33.5</v>
      </c>
      <c r="F18" s="32">
        <f>89+4</f>
        <v>93</v>
      </c>
      <c r="G18" s="162">
        <f>44.5+6.5</f>
        <v>51</v>
      </c>
      <c r="H18" s="103">
        <f t="shared" si="0"/>
        <v>229.5</v>
      </c>
    </row>
    <row r="19" spans="1:8" ht="19.5" customHeight="1">
      <c r="A19" s="8">
        <v>18</v>
      </c>
      <c r="B19" s="80" t="s">
        <v>294</v>
      </c>
      <c r="C19" s="81" t="s">
        <v>41</v>
      </c>
      <c r="D19" s="12">
        <v>14</v>
      </c>
      <c r="E19" s="32">
        <v>15</v>
      </c>
      <c r="F19" s="32">
        <v>13</v>
      </c>
      <c r="G19" s="162">
        <v>29</v>
      </c>
      <c r="H19" s="103">
        <f t="shared" si="0"/>
        <v>71</v>
      </c>
    </row>
    <row r="20" spans="1:8" ht="19.5" customHeight="1">
      <c r="A20" s="8">
        <v>19</v>
      </c>
      <c r="B20" s="80" t="s">
        <v>295</v>
      </c>
      <c r="C20" s="81" t="s">
        <v>95</v>
      </c>
      <c r="D20" s="12">
        <v>0</v>
      </c>
      <c r="E20" s="32">
        <v>0</v>
      </c>
      <c r="F20" s="32">
        <v>5</v>
      </c>
      <c r="G20" s="162">
        <v>80</v>
      </c>
      <c r="H20" s="103">
        <f t="shared" si="0"/>
        <v>85</v>
      </c>
    </row>
    <row r="21" spans="1:8" ht="19.5" customHeight="1">
      <c r="A21" s="8">
        <v>20</v>
      </c>
      <c r="B21" s="80" t="s">
        <v>296</v>
      </c>
      <c r="C21" s="81" t="s">
        <v>57</v>
      </c>
      <c r="D21" s="12">
        <v>4</v>
      </c>
      <c r="E21" s="32">
        <v>0</v>
      </c>
      <c r="F21" s="32">
        <v>0</v>
      </c>
      <c r="G21" s="162">
        <v>55</v>
      </c>
      <c r="H21" s="103">
        <f t="shared" si="0"/>
        <v>59</v>
      </c>
    </row>
    <row r="22" spans="1:8" ht="19.5" customHeight="1">
      <c r="A22" s="8">
        <v>21</v>
      </c>
      <c r="B22" s="80" t="s">
        <v>297</v>
      </c>
      <c r="C22" s="81" t="s">
        <v>41</v>
      </c>
      <c r="D22" s="13">
        <v>41</v>
      </c>
      <c r="E22" s="34">
        <v>0</v>
      </c>
      <c r="F22" s="34">
        <v>10</v>
      </c>
      <c r="G22" s="168">
        <v>17</v>
      </c>
      <c r="H22" s="103">
        <f t="shared" si="0"/>
        <v>68</v>
      </c>
    </row>
    <row r="23" spans="1:8" ht="19.5" customHeight="1" thickBot="1">
      <c r="A23" s="9">
        <v>22</v>
      </c>
      <c r="B23" s="82" t="s">
        <v>298</v>
      </c>
      <c r="C23" s="83" t="s">
        <v>64</v>
      </c>
      <c r="D23" s="14">
        <v>35</v>
      </c>
      <c r="E23" s="33">
        <v>2</v>
      </c>
      <c r="F23" s="33">
        <v>6</v>
      </c>
      <c r="G23" s="167">
        <v>0</v>
      </c>
      <c r="H23" s="104">
        <f t="shared" si="0"/>
        <v>43</v>
      </c>
    </row>
    <row r="24" spans="1:8" s="105" customFormat="1" ht="15.75">
      <c r="A24" s="113"/>
      <c r="B24" s="109" t="s">
        <v>452</v>
      </c>
      <c r="D24" s="106">
        <v>19</v>
      </c>
      <c r="E24" s="106">
        <v>8</v>
      </c>
      <c r="F24" s="106"/>
      <c r="G24" s="106">
        <v>22</v>
      </c>
      <c r="H24" s="116">
        <f>SUM(D24:G24)</f>
        <v>49</v>
      </c>
    </row>
    <row r="25" spans="4:7" ht="15.75" thickBot="1">
      <c r="D25" s="18"/>
      <c r="E25" s="15"/>
      <c r="F25" s="26"/>
      <c r="G25" s="26"/>
    </row>
    <row r="26" spans="1:8" s="29" customFormat="1" ht="16.5" thickBot="1">
      <c r="A26" s="28"/>
      <c r="B26" s="119" t="s">
        <v>352</v>
      </c>
      <c r="D26" s="19">
        <f>SUM(D2:D24)</f>
        <v>749</v>
      </c>
      <c r="E26" s="19">
        <f>SUM(E2:E24)</f>
        <v>390.5</v>
      </c>
      <c r="F26" s="19">
        <f>SUM(F2:F24)</f>
        <v>978</v>
      </c>
      <c r="G26" s="19">
        <f>SUM(G2:G24)</f>
        <v>760</v>
      </c>
      <c r="H26" s="118">
        <f>SUM(H2:H24)</f>
        <v>2877.5</v>
      </c>
    </row>
    <row r="27" ht="12.75">
      <c r="H27" s="21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>&amp;C&amp;"Arial,Tučné"&amp;16Sběr 2008 - 2009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G8" sqref="G8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4" t="s">
        <v>348</v>
      </c>
      <c r="B1" s="5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84">
        <v>1</v>
      </c>
      <c r="B2" s="58" t="s">
        <v>300</v>
      </c>
      <c r="C2" s="59" t="s">
        <v>55</v>
      </c>
      <c r="D2" s="16">
        <v>74</v>
      </c>
      <c r="E2" s="40">
        <v>0</v>
      </c>
      <c r="F2" s="40">
        <v>0</v>
      </c>
      <c r="G2" s="163">
        <v>0</v>
      </c>
      <c r="H2" s="102">
        <f>SUM(D2:G2)</f>
        <v>74</v>
      </c>
    </row>
    <row r="3" spans="1:8" ht="19.5" customHeight="1">
      <c r="A3" s="85">
        <v>2</v>
      </c>
      <c r="B3" s="60" t="s">
        <v>300</v>
      </c>
      <c r="C3" s="61" t="s">
        <v>97</v>
      </c>
      <c r="D3" s="12">
        <v>75</v>
      </c>
      <c r="E3" s="32">
        <v>0</v>
      </c>
      <c r="F3" s="32">
        <v>0</v>
      </c>
      <c r="G3" s="162">
        <v>0</v>
      </c>
      <c r="H3" s="103">
        <f aca="true" t="shared" si="0" ref="H3:H23">SUM(D3:G3)</f>
        <v>75</v>
      </c>
    </row>
    <row r="4" spans="1:8" ht="19.5" customHeight="1">
      <c r="A4" s="85">
        <v>3</v>
      </c>
      <c r="B4" s="60" t="s">
        <v>301</v>
      </c>
      <c r="C4" s="61" t="s">
        <v>41</v>
      </c>
      <c r="D4" s="12">
        <v>0</v>
      </c>
      <c r="E4" s="32">
        <v>8</v>
      </c>
      <c r="F4" s="32">
        <v>2</v>
      </c>
      <c r="G4" s="162">
        <v>16</v>
      </c>
      <c r="H4" s="103">
        <f t="shared" si="0"/>
        <v>26</v>
      </c>
    </row>
    <row r="5" spans="1:8" ht="19.5" customHeight="1">
      <c r="A5" s="85">
        <v>4</v>
      </c>
      <c r="B5" s="60" t="s">
        <v>302</v>
      </c>
      <c r="C5" s="61" t="s">
        <v>110</v>
      </c>
      <c r="D5" s="12">
        <v>11</v>
      </c>
      <c r="E5" s="32">
        <v>0</v>
      </c>
      <c r="F5" s="32">
        <v>2</v>
      </c>
      <c r="G5" s="162">
        <v>3</v>
      </c>
      <c r="H5" s="103">
        <f t="shared" si="0"/>
        <v>16</v>
      </c>
    </row>
    <row r="6" spans="1:8" ht="19.5" customHeight="1">
      <c r="A6" s="85">
        <v>5</v>
      </c>
      <c r="B6" s="60" t="s">
        <v>12</v>
      </c>
      <c r="C6" s="61" t="s">
        <v>260</v>
      </c>
      <c r="D6" s="12">
        <v>0</v>
      </c>
      <c r="E6" s="32">
        <v>25</v>
      </c>
      <c r="F6" s="32">
        <v>270</v>
      </c>
      <c r="G6" s="162">
        <v>260</v>
      </c>
      <c r="H6" s="103">
        <f t="shared" si="0"/>
        <v>555</v>
      </c>
    </row>
    <row r="7" spans="1:8" ht="19.5" customHeight="1">
      <c r="A7" s="85">
        <v>6</v>
      </c>
      <c r="B7" s="60" t="s">
        <v>303</v>
      </c>
      <c r="C7" s="61" t="s">
        <v>304</v>
      </c>
      <c r="D7" s="12">
        <v>30</v>
      </c>
      <c r="E7" s="32">
        <v>0</v>
      </c>
      <c r="F7" s="32">
        <v>36</v>
      </c>
      <c r="G7" s="162">
        <v>32</v>
      </c>
      <c r="H7" s="103">
        <f t="shared" si="0"/>
        <v>98</v>
      </c>
    </row>
    <row r="8" spans="1:8" ht="19.5" customHeight="1">
      <c r="A8" s="85">
        <v>7</v>
      </c>
      <c r="B8" s="60" t="s">
        <v>286</v>
      </c>
      <c r="C8" s="61" t="s">
        <v>90</v>
      </c>
      <c r="D8" s="12">
        <v>28</v>
      </c>
      <c r="E8" s="32">
        <v>1</v>
      </c>
      <c r="F8" s="32">
        <v>8</v>
      </c>
      <c r="G8" s="162">
        <v>0</v>
      </c>
      <c r="H8" s="103">
        <f t="shared" si="0"/>
        <v>37</v>
      </c>
    </row>
    <row r="9" spans="1:8" ht="19.5" customHeight="1">
      <c r="A9" s="85">
        <v>8</v>
      </c>
      <c r="B9" s="60" t="s">
        <v>305</v>
      </c>
      <c r="C9" s="61" t="s">
        <v>31</v>
      </c>
      <c r="D9" s="12">
        <v>10</v>
      </c>
      <c r="E9" s="32">
        <v>2</v>
      </c>
      <c r="F9" s="32">
        <v>0</v>
      </c>
      <c r="G9" s="162">
        <v>0</v>
      </c>
      <c r="H9" s="103">
        <f t="shared" si="0"/>
        <v>12</v>
      </c>
    </row>
    <row r="10" spans="1:8" ht="19.5" customHeight="1">
      <c r="A10" s="85">
        <v>9</v>
      </c>
      <c r="B10" s="60" t="s">
        <v>82</v>
      </c>
      <c r="C10" s="61" t="s">
        <v>31</v>
      </c>
      <c r="D10" s="12">
        <v>0</v>
      </c>
      <c r="E10" s="32">
        <v>4</v>
      </c>
      <c r="F10" s="32">
        <v>2</v>
      </c>
      <c r="G10" s="162">
        <v>10</v>
      </c>
      <c r="H10" s="103">
        <f t="shared" si="0"/>
        <v>16</v>
      </c>
    </row>
    <row r="11" spans="1:8" ht="19.5" customHeight="1">
      <c r="A11" s="85">
        <v>10</v>
      </c>
      <c r="B11" s="60" t="s">
        <v>306</v>
      </c>
      <c r="C11" s="61" t="s">
        <v>160</v>
      </c>
      <c r="D11" s="12">
        <v>29</v>
      </c>
      <c r="E11" s="32">
        <v>3</v>
      </c>
      <c r="F11" s="32">
        <v>0</v>
      </c>
      <c r="G11" s="162">
        <v>0</v>
      </c>
      <c r="H11" s="103">
        <f t="shared" si="0"/>
        <v>32</v>
      </c>
    </row>
    <row r="12" spans="1:8" ht="19.5" customHeight="1">
      <c r="A12" s="85">
        <v>11</v>
      </c>
      <c r="B12" s="60" t="s">
        <v>259</v>
      </c>
      <c r="C12" s="61" t="s">
        <v>97</v>
      </c>
      <c r="D12" s="12">
        <f>123+85</f>
        <v>208</v>
      </c>
      <c r="E12" s="32">
        <v>0</v>
      </c>
      <c r="F12" s="32">
        <v>0</v>
      </c>
      <c r="G12" s="162">
        <v>0</v>
      </c>
      <c r="H12" s="103">
        <f t="shared" si="0"/>
        <v>208</v>
      </c>
    </row>
    <row r="13" spans="1:8" ht="19.5" customHeight="1">
      <c r="A13" s="85">
        <v>12</v>
      </c>
      <c r="B13" s="60" t="s">
        <v>87</v>
      </c>
      <c r="C13" s="61" t="s">
        <v>19</v>
      </c>
      <c r="D13" s="12">
        <f>19+19+15+19+40+11</f>
        <v>123</v>
      </c>
      <c r="E13" s="32">
        <v>6</v>
      </c>
      <c r="F13" s="32">
        <v>9</v>
      </c>
      <c r="G13" s="162">
        <v>3</v>
      </c>
      <c r="H13" s="103">
        <f t="shared" si="0"/>
        <v>141</v>
      </c>
    </row>
    <row r="14" spans="1:8" ht="19.5" customHeight="1">
      <c r="A14" s="85">
        <v>13</v>
      </c>
      <c r="B14" s="60" t="s">
        <v>307</v>
      </c>
      <c r="C14" s="61" t="s">
        <v>263</v>
      </c>
      <c r="D14" s="12">
        <f>149+5</f>
        <v>154</v>
      </c>
      <c r="E14" s="32">
        <f>52+41+40</f>
        <v>133</v>
      </c>
      <c r="F14" s="32">
        <v>72</v>
      </c>
      <c r="G14" s="162">
        <v>72</v>
      </c>
      <c r="H14" s="103">
        <f t="shared" si="0"/>
        <v>431</v>
      </c>
    </row>
    <row r="15" spans="1:8" ht="19.5" customHeight="1">
      <c r="A15" s="85">
        <v>14</v>
      </c>
      <c r="B15" s="60" t="s">
        <v>308</v>
      </c>
      <c r="C15" s="61" t="s">
        <v>309</v>
      </c>
      <c r="D15" s="12">
        <v>27</v>
      </c>
      <c r="E15" s="32">
        <v>0</v>
      </c>
      <c r="F15" s="32">
        <v>0</v>
      </c>
      <c r="G15" s="162">
        <v>0</v>
      </c>
      <c r="H15" s="103">
        <f t="shared" si="0"/>
        <v>27</v>
      </c>
    </row>
    <row r="16" spans="1:8" ht="19.5" customHeight="1">
      <c r="A16" s="85">
        <v>15</v>
      </c>
      <c r="B16" s="60" t="s">
        <v>310</v>
      </c>
      <c r="C16" s="61" t="s">
        <v>121</v>
      </c>
      <c r="D16" s="12">
        <v>49</v>
      </c>
      <c r="E16" s="32">
        <v>0</v>
      </c>
      <c r="F16" s="32">
        <v>0</v>
      </c>
      <c r="G16" s="162">
        <v>0</v>
      </c>
      <c r="H16" s="103">
        <f t="shared" si="0"/>
        <v>49</v>
      </c>
    </row>
    <row r="17" spans="1:8" ht="19.5" customHeight="1">
      <c r="A17" s="85">
        <v>16</v>
      </c>
      <c r="B17" s="60" t="s">
        <v>311</v>
      </c>
      <c r="C17" s="61" t="s">
        <v>31</v>
      </c>
      <c r="D17" s="12">
        <v>3</v>
      </c>
      <c r="E17" s="32">
        <v>1</v>
      </c>
      <c r="F17" s="32">
        <v>0</v>
      </c>
      <c r="G17" s="162">
        <v>5</v>
      </c>
      <c r="H17" s="103">
        <f t="shared" si="0"/>
        <v>9</v>
      </c>
    </row>
    <row r="18" spans="1:8" ht="19.5" customHeight="1">
      <c r="A18" s="85">
        <v>17</v>
      </c>
      <c r="B18" s="60" t="s">
        <v>117</v>
      </c>
      <c r="C18" s="61" t="s">
        <v>110</v>
      </c>
      <c r="D18" s="12">
        <v>38</v>
      </c>
      <c r="E18" s="32">
        <v>68</v>
      </c>
      <c r="F18" s="32">
        <v>37</v>
      </c>
      <c r="G18" s="162">
        <v>33</v>
      </c>
      <c r="H18" s="103">
        <f t="shared" si="0"/>
        <v>176</v>
      </c>
    </row>
    <row r="19" spans="1:8" ht="19.5" customHeight="1">
      <c r="A19" s="85">
        <v>18</v>
      </c>
      <c r="B19" s="60" t="s">
        <v>312</v>
      </c>
      <c r="C19" s="61" t="s">
        <v>313</v>
      </c>
      <c r="D19" s="12">
        <v>0</v>
      </c>
      <c r="E19" s="32">
        <v>3</v>
      </c>
      <c r="F19" s="32">
        <v>0</v>
      </c>
      <c r="G19" s="162">
        <v>0</v>
      </c>
      <c r="H19" s="103">
        <f t="shared" si="0"/>
        <v>3</v>
      </c>
    </row>
    <row r="20" spans="1:8" ht="19.5" customHeight="1">
      <c r="A20" s="85">
        <v>19</v>
      </c>
      <c r="B20" s="60" t="s">
        <v>315</v>
      </c>
      <c r="C20" s="61" t="s">
        <v>4</v>
      </c>
      <c r="D20" s="13">
        <v>0</v>
      </c>
      <c r="E20" s="34">
        <v>0</v>
      </c>
      <c r="F20" s="34">
        <v>0</v>
      </c>
      <c r="G20" s="168">
        <v>0</v>
      </c>
      <c r="H20" s="103">
        <f t="shared" si="0"/>
        <v>0</v>
      </c>
    </row>
    <row r="21" spans="1:8" ht="19.5" customHeight="1">
      <c r="A21" s="85">
        <v>20</v>
      </c>
      <c r="B21" s="60" t="s">
        <v>316</v>
      </c>
      <c r="C21" s="61" t="s">
        <v>258</v>
      </c>
      <c r="D21" s="13">
        <f>8+11+39+18</f>
        <v>76</v>
      </c>
      <c r="E21" s="34">
        <v>56</v>
      </c>
      <c r="F21" s="34">
        <v>2</v>
      </c>
      <c r="G21" s="168">
        <v>18</v>
      </c>
      <c r="H21" s="103">
        <f t="shared" si="0"/>
        <v>152</v>
      </c>
    </row>
    <row r="22" spans="1:8" ht="19.5" customHeight="1">
      <c r="A22" s="85">
        <v>21</v>
      </c>
      <c r="B22" s="60" t="s">
        <v>317</v>
      </c>
      <c r="C22" s="61" t="s">
        <v>70</v>
      </c>
      <c r="D22" s="13">
        <v>42</v>
      </c>
      <c r="E22" s="138">
        <v>20</v>
      </c>
      <c r="F22" s="34">
        <v>24</v>
      </c>
      <c r="G22" s="168">
        <f>3+5</f>
        <v>8</v>
      </c>
      <c r="H22" s="103">
        <f t="shared" si="0"/>
        <v>94</v>
      </c>
    </row>
    <row r="23" spans="1:8" ht="19.5" customHeight="1" thickBot="1">
      <c r="A23" s="87">
        <v>22</v>
      </c>
      <c r="B23" s="62" t="s">
        <v>318</v>
      </c>
      <c r="C23" s="63" t="s">
        <v>319</v>
      </c>
      <c r="D23" s="14">
        <v>2</v>
      </c>
      <c r="E23" s="139">
        <v>2</v>
      </c>
      <c r="F23" s="33">
        <v>0</v>
      </c>
      <c r="G23" s="167">
        <v>3</v>
      </c>
      <c r="H23" s="104">
        <f t="shared" si="0"/>
        <v>7</v>
      </c>
    </row>
    <row r="24" spans="1:8" s="105" customFormat="1" ht="15.75">
      <c r="A24" s="113"/>
      <c r="B24" s="109" t="s">
        <v>452</v>
      </c>
      <c r="C24" s="111"/>
      <c r="D24" s="106"/>
      <c r="E24" s="110"/>
      <c r="F24" s="106">
        <v>45</v>
      </c>
      <c r="G24" s="106"/>
      <c r="H24" s="106">
        <f>SUM(D24:G24)</f>
        <v>45</v>
      </c>
    </row>
    <row r="25" spans="4:7" ht="15.75" thickBot="1">
      <c r="D25" s="17"/>
      <c r="E25" s="15"/>
      <c r="F25" s="26"/>
      <c r="G25" s="26"/>
    </row>
    <row r="26" spans="1:8" s="29" customFormat="1" ht="16.5" thickBot="1">
      <c r="A26" s="28"/>
      <c r="B26" s="119" t="s">
        <v>352</v>
      </c>
      <c r="D26" s="19">
        <f>SUM(D2:D23)</f>
        <v>979</v>
      </c>
      <c r="E26" s="19">
        <f>SUM(E2:E24)</f>
        <v>332</v>
      </c>
      <c r="F26" s="19">
        <f>SUM(F2:F24)</f>
        <v>509</v>
      </c>
      <c r="G26" s="19">
        <f>SUM(G2:G24)</f>
        <v>463</v>
      </c>
      <c r="H26" s="118">
        <f>SUM(H2:H24)</f>
        <v>2283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>&amp;C&amp;"Arial,Tučné"&amp;16Sběr 2008 - 2009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G34" sqref="G3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6" t="s">
        <v>349</v>
      </c>
      <c r="B1" s="5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84">
        <v>1</v>
      </c>
      <c r="B2" s="71" t="s">
        <v>321</v>
      </c>
      <c r="C2" s="72" t="s">
        <v>322</v>
      </c>
      <c r="D2" s="16">
        <v>32</v>
      </c>
      <c r="E2" s="30">
        <v>0</v>
      </c>
      <c r="F2" s="40">
        <v>0</v>
      </c>
      <c r="G2" s="163">
        <v>0</v>
      </c>
      <c r="H2" s="102">
        <f>SUM(D2:G2)</f>
        <v>32</v>
      </c>
    </row>
    <row r="3" spans="1:8" ht="19.5" customHeight="1">
      <c r="A3" s="85">
        <v>2</v>
      </c>
      <c r="B3" s="73" t="s">
        <v>323</v>
      </c>
      <c r="C3" s="74" t="s">
        <v>95</v>
      </c>
      <c r="D3" s="12">
        <v>21</v>
      </c>
      <c r="E3" s="32">
        <v>55</v>
      </c>
      <c r="F3" s="32">
        <v>0</v>
      </c>
      <c r="G3" s="162">
        <v>12</v>
      </c>
      <c r="H3" s="103">
        <f aca="true" t="shared" si="0" ref="H3:H23">SUM(D3:G3)</f>
        <v>88</v>
      </c>
    </row>
    <row r="4" spans="1:8" ht="19.5" customHeight="1">
      <c r="A4" s="85">
        <v>3</v>
      </c>
      <c r="B4" s="73" t="s">
        <v>324</v>
      </c>
      <c r="C4" s="74" t="s">
        <v>50</v>
      </c>
      <c r="D4" s="12">
        <f>8+6+11+30</f>
        <v>55</v>
      </c>
      <c r="E4" s="32">
        <f>7+36</f>
        <v>43</v>
      </c>
      <c r="F4" s="32">
        <v>74</v>
      </c>
      <c r="G4" s="162">
        <v>39</v>
      </c>
      <c r="H4" s="103">
        <f t="shared" si="0"/>
        <v>211</v>
      </c>
    </row>
    <row r="5" spans="1:8" ht="19.5" customHeight="1">
      <c r="A5" s="85">
        <v>4</v>
      </c>
      <c r="B5" s="73" t="s">
        <v>325</v>
      </c>
      <c r="C5" s="74" t="s">
        <v>95</v>
      </c>
      <c r="D5" s="12">
        <v>85</v>
      </c>
      <c r="E5" s="32">
        <v>0</v>
      </c>
      <c r="F5" s="32">
        <v>149</v>
      </c>
      <c r="G5" s="162">
        <v>81</v>
      </c>
      <c r="H5" s="103">
        <f t="shared" si="0"/>
        <v>315</v>
      </c>
    </row>
    <row r="6" spans="1:8" ht="19.5" customHeight="1">
      <c r="A6" s="85">
        <v>5</v>
      </c>
      <c r="B6" s="73" t="s">
        <v>326</v>
      </c>
      <c r="C6" s="74" t="s">
        <v>50</v>
      </c>
      <c r="D6" s="12">
        <v>9</v>
      </c>
      <c r="E6" s="32">
        <v>10</v>
      </c>
      <c r="F6" s="32">
        <v>10</v>
      </c>
      <c r="G6" s="162">
        <v>0</v>
      </c>
      <c r="H6" s="103">
        <f t="shared" si="0"/>
        <v>29</v>
      </c>
    </row>
    <row r="7" spans="1:8" ht="19.5" customHeight="1">
      <c r="A7" s="85">
        <v>6</v>
      </c>
      <c r="B7" s="73" t="s">
        <v>327</v>
      </c>
      <c r="C7" s="74" t="s">
        <v>309</v>
      </c>
      <c r="D7" s="12">
        <v>53</v>
      </c>
      <c r="E7" s="32">
        <v>69</v>
      </c>
      <c r="F7" s="32">
        <v>0</v>
      </c>
      <c r="G7" s="162">
        <v>0</v>
      </c>
      <c r="H7" s="103">
        <f t="shared" si="0"/>
        <v>122</v>
      </c>
    </row>
    <row r="8" spans="1:8" ht="19.5" customHeight="1">
      <c r="A8" s="85">
        <v>7</v>
      </c>
      <c r="B8" s="73" t="s">
        <v>328</v>
      </c>
      <c r="C8" s="74" t="s">
        <v>59</v>
      </c>
      <c r="D8" s="12">
        <v>0</v>
      </c>
      <c r="E8" s="32">
        <v>5</v>
      </c>
      <c r="F8" s="32">
        <v>5</v>
      </c>
      <c r="G8" s="162">
        <v>7</v>
      </c>
      <c r="H8" s="103">
        <f t="shared" si="0"/>
        <v>17</v>
      </c>
    </row>
    <row r="9" spans="1:8" ht="19.5" customHeight="1">
      <c r="A9" s="85">
        <v>8</v>
      </c>
      <c r="B9" s="73" t="s">
        <v>329</v>
      </c>
      <c r="C9" s="74" t="s">
        <v>33</v>
      </c>
      <c r="D9" s="12">
        <f>80+6+11+8</f>
        <v>105</v>
      </c>
      <c r="E9" s="32">
        <v>19</v>
      </c>
      <c r="F9" s="32">
        <f>12.5+8+6+5</f>
        <v>31.5</v>
      </c>
      <c r="G9" s="162">
        <v>28</v>
      </c>
      <c r="H9" s="103">
        <f t="shared" si="0"/>
        <v>183.5</v>
      </c>
    </row>
    <row r="10" spans="1:8" ht="19.5" customHeight="1">
      <c r="A10" s="85">
        <v>9</v>
      </c>
      <c r="B10" s="73" t="s">
        <v>330</v>
      </c>
      <c r="C10" s="74" t="s">
        <v>44</v>
      </c>
      <c r="D10" s="12">
        <v>30</v>
      </c>
      <c r="E10" s="32">
        <v>13</v>
      </c>
      <c r="F10" s="32">
        <v>14</v>
      </c>
      <c r="G10" s="162">
        <v>0</v>
      </c>
      <c r="H10" s="103">
        <f t="shared" si="0"/>
        <v>57</v>
      </c>
    </row>
    <row r="11" spans="1:8" ht="19.5" customHeight="1">
      <c r="A11" s="85">
        <v>10</v>
      </c>
      <c r="B11" s="73" t="s">
        <v>331</v>
      </c>
      <c r="C11" s="74" t="s">
        <v>31</v>
      </c>
      <c r="D11" s="12">
        <v>101</v>
      </c>
      <c r="E11" s="32">
        <v>6</v>
      </c>
      <c r="F11" s="32">
        <v>14</v>
      </c>
      <c r="G11" s="162">
        <v>0</v>
      </c>
      <c r="H11" s="103">
        <f t="shared" si="0"/>
        <v>121</v>
      </c>
    </row>
    <row r="12" spans="1:8" ht="19.5" customHeight="1">
      <c r="A12" s="85">
        <v>11</v>
      </c>
      <c r="B12" s="73" t="s">
        <v>164</v>
      </c>
      <c r="C12" s="74" t="s">
        <v>76</v>
      </c>
      <c r="D12" s="12">
        <v>30</v>
      </c>
      <c r="E12" s="32">
        <v>11</v>
      </c>
      <c r="F12" s="32">
        <v>6</v>
      </c>
      <c r="G12" s="162">
        <v>12</v>
      </c>
      <c r="H12" s="103">
        <f t="shared" si="0"/>
        <v>59</v>
      </c>
    </row>
    <row r="13" spans="1:8" ht="19.5" customHeight="1">
      <c r="A13" s="85">
        <v>12</v>
      </c>
      <c r="B13" s="73" t="s">
        <v>332</v>
      </c>
      <c r="C13" s="74" t="s">
        <v>333</v>
      </c>
      <c r="D13" s="12">
        <f>65+41</f>
        <v>106</v>
      </c>
      <c r="E13" s="32">
        <v>0</v>
      </c>
      <c r="F13" s="32">
        <v>0</v>
      </c>
      <c r="G13" s="162">
        <v>10</v>
      </c>
      <c r="H13" s="103">
        <f t="shared" si="0"/>
        <v>116</v>
      </c>
    </row>
    <row r="14" spans="1:8" ht="19.5" customHeight="1">
      <c r="A14" s="85">
        <v>13</v>
      </c>
      <c r="B14" s="73" t="s">
        <v>334</v>
      </c>
      <c r="C14" s="74" t="s">
        <v>335</v>
      </c>
      <c r="D14" s="12">
        <v>6</v>
      </c>
      <c r="E14" s="32">
        <v>0</v>
      </c>
      <c r="F14" s="32">
        <v>0</v>
      </c>
      <c r="G14" s="162">
        <v>0</v>
      </c>
      <c r="H14" s="103">
        <f t="shared" si="0"/>
        <v>6</v>
      </c>
    </row>
    <row r="15" spans="1:8" ht="19.5" customHeight="1">
      <c r="A15" s="85">
        <v>14</v>
      </c>
      <c r="B15" s="73" t="s">
        <v>336</v>
      </c>
      <c r="C15" s="74" t="s">
        <v>150</v>
      </c>
      <c r="D15" s="12">
        <f>11+8+19+15</f>
        <v>53</v>
      </c>
      <c r="E15" s="32">
        <v>8</v>
      </c>
      <c r="F15" s="32">
        <f>8+40+7+6</f>
        <v>61</v>
      </c>
      <c r="G15" s="162">
        <v>0</v>
      </c>
      <c r="H15" s="103">
        <f t="shared" si="0"/>
        <v>122</v>
      </c>
    </row>
    <row r="16" spans="1:8" ht="19.5" customHeight="1">
      <c r="A16" s="85">
        <v>15</v>
      </c>
      <c r="B16" s="73" t="s">
        <v>337</v>
      </c>
      <c r="C16" s="74" t="s">
        <v>338</v>
      </c>
      <c r="D16" s="12">
        <v>14</v>
      </c>
      <c r="E16" s="32">
        <v>0</v>
      </c>
      <c r="F16" s="32">
        <v>0</v>
      </c>
      <c r="G16" s="162">
        <v>0</v>
      </c>
      <c r="H16" s="103">
        <f t="shared" si="0"/>
        <v>14</v>
      </c>
    </row>
    <row r="17" spans="1:8" ht="19.5" customHeight="1">
      <c r="A17" s="85">
        <v>16</v>
      </c>
      <c r="B17" s="73" t="s">
        <v>339</v>
      </c>
      <c r="C17" s="74" t="s">
        <v>44</v>
      </c>
      <c r="D17" s="12">
        <f>75+40</f>
        <v>115</v>
      </c>
      <c r="E17" s="32">
        <v>84</v>
      </c>
      <c r="F17" s="32">
        <v>10</v>
      </c>
      <c r="G17" s="162">
        <v>0</v>
      </c>
      <c r="H17" s="103">
        <f t="shared" si="0"/>
        <v>209</v>
      </c>
    </row>
    <row r="18" spans="1:8" ht="19.5" customHeight="1">
      <c r="A18" s="85">
        <v>17</v>
      </c>
      <c r="B18" s="73" t="s">
        <v>340</v>
      </c>
      <c r="C18" s="74" t="s">
        <v>97</v>
      </c>
      <c r="D18" s="12">
        <v>9</v>
      </c>
      <c r="E18" s="32">
        <v>6</v>
      </c>
      <c r="F18" s="32">
        <v>6</v>
      </c>
      <c r="G18" s="162">
        <v>0</v>
      </c>
      <c r="H18" s="103">
        <f t="shared" si="0"/>
        <v>21</v>
      </c>
    </row>
    <row r="19" spans="1:8" ht="19.5" customHeight="1">
      <c r="A19" s="85">
        <v>18</v>
      </c>
      <c r="B19" s="73" t="s">
        <v>341</v>
      </c>
      <c r="C19" s="74" t="s">
        <v>17</v>
      </c>
      <c r="D19" s="12">
        <v>71</v>
      </c>
      <c r="E19" s="32">
        <v>10</v>
      </c>
      <c r="F19" s="32">
        <v>17</v>
      </c>
      <c r="G19" s="162">
        <v>6</v>
      </c>
      <c r="H19" s="103">
        <f t="shared" si="0"/>
        <v>104</v>
      </c>
    </row>
    <row r="20" spans="1:8" ht="19.5" customHeight="1">
      <c r="A20" s="85">
        <v>19</v>
      </c>
      <c r="B20" s="73" t="s">
        <v>63</v>
      </c>
      <c r="C20" s="74" t="s">
        <v>24</v>
      </c>
      <c r="D20" s="12">
        <v>0</v>
      </c>
      <c r="E20" s="32">
        <v>26</v>
      </c>
      <c r="F20" s="32">
        <v>0</v>
      </c>
      <c r="G20" s="162">
        <v>0</v>
      </c>
      <c r="H20" s="103">
        <f t="shared" si="0"/>
        <v>26</v>
      </c>
    </row>
    <row r="21" spans="1:8" ht="19.5" customHeight="1">
      <c r="A21" s="85">
        <v>20</v>
      </c>
      <c r="B21" s="73" t="s">
        <v>342</v>
      </c>
      <c r="C21" s="74" t="s">
        <v>169</v>
      </c>
      <c r="D21" s="13">
        <v>25</v>
      </c>
      <c r="E21" s="34">
        <v>0</v>
      </c>
      <c r="F21" s="34">
        <v>0</v>
      </c>
      <c r="G21" s="168">
        <v>0</v>
      </c>
      <c r="H21" s="103">
        <f t="shared" si="0"/>
        <v>25</v>
      </c>
    </row>
    <row r="22" spans="1:8" ht="19.5" customHeight="1">
      <c r="A22" s="85">
        <v>21</v>
      </c>
      <c r="B22" s="73" t="s">
        <v>343</v>
      </c>
      <c r="C22" s="74" t="s">
        <v>135</v>
      </c>
      <c r="D22" s="13">
        <v>27</v>
      </c>
      <c r="E22" s="34">
        <v>0</v>
      </c>
      <c r="F22" s="34">
        <v>0</v>
      </c>
      <c r="G22" s="168">
        <v>5</v>
      </c>
      <c r="H22" s="103">
        <f t="shared" si="0"/>
        <v>32</v>
      </c>
    </row>
    <row r="23" spans="1:8" ht="19.5" customHeight="1" thickBot="1">
      <c r="A23" s="87">
        <v>22</v>
      </c>
      <c r="B23" s="75" t="s">
        <v>344</v>
      </c>
      <c r="C23" s="76" t="s">
        <v>59</v>
      </c>
      <c r="D23" s="14">
        <v>6</v>
      </c>
      <c r="E23" s="33">
        <v>2</v>
      </c>
      <c r="F23" s="33">
        <v>0</v>
      </c>
      <c r="G23" s="167">
        <v>0</v>
      </c>
      <c r="H23" s="104">
        <f t="shared" si="0"/>
        <v>8</v>
      </c>
    </row>
    <row r="24" spans="1:8" s="105" customFormat="1" ht="15.75">
      <c r="A24" s="114"/>
      <c r="B24" s="109" t="s">
        <v>452</v>
      </c>
      <c r="D24" s="106">
        <v>10</v>
      </c>
      <c r="E24" s="110"/>
      <c r="F24" s="106"/>
      <c r="G24" s="106"/>
      <c r="H24" s="106">
        <f>SUM(D24:G24)</f>
        <v>10</v>
      </c>
    </row>
    <row r="25" spans="4:7" ht="15.75" thickBot="1">
      <c r="D25" s="17"/>
      <c r="E25" s="15"/>
      <c r="F25" s="15"/>
      <c r="G25" s="15"/>
    </row>
    <row r="26" spans="1:8" s="29" customFormat="1" ht="16.5" thickBot="1">
      <c r="A26" s="28"/>
      <c r="B26" s="119" t="s">
        <v>352</v>
      </c>
      <c r="D26" s="19">
        <f>SUM(D2:D24)</f>
        <v>963</v>
      </c>
      <c r="E26" s="19">
        <f>SUM(E2:E24)</f>
        <v>367</v>
      </c>
      <c r="F26" s="19">
        <f>SUM(F2:F24)</f>
        <v>397.5</v>
      </c>
      <c r="G26" s="19">
        <f>SUM(G2:G24)</f>
        <v>200</v>
      </c>
      <c r="H26" s="118">
        <f>SUM(H2:H24)</f>
        <v>1927.5</v>
      </c>
    </row>
    <row r="27" ht="12.75">
      <c r="H27" s="21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 xml:space="preserve">&amp;C&amp;"Arial,Tučné"&amp;16Sběr 2008 - 2009&amp;R&amp;"Arial,Tučné"&amp;16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I374"/>
  <sheetViews>
    <sheetView tabSelected="1" view="pageBreakPreview" zoomScale="60" workbookViewId="0" topLeftCell="A316">
      <selection activeCell="H364" sqref="H364"/>
    </sheetView>
  </sheetViews>
  <sheetFormatPr defaultColWidth="9.140625" defaultRowHeight="12.75"/>
  <cols>
    <col min="1" max="1" width="9.140625" style="18" customWidth="1"/>
    <col min="2" max="3" width="20.7109375" style="0" customWidth="1"/>
    <col min="4" max="4" width="8.7109375" style="44" customWidth="1"/>
    <col min="5" max="5" width="15.7109375" style="0" customWidth="1"/>
    <col min="7" max="7" width="22.57421875" style="0" customWidth="1"/>
    <col min="8" max="8" width="16.140625" style="49" customWidth="1"/>
  </cols>
  <sheetData>
    <row r="1" spans="1:5" ht="24.75" customHeight="1" thickBot="1">
      <c r="A1" s="160" t="s">
        <v>460</v>
      </c>
      <c r="B1" s="95" t="s">
        <v>350</v>
      </c>
      <c r="C1" s="96" t="s">
        <v>351</v>
      </c>
      <c r="D1" s="97" t="s">
        <v>451</v>
      </c>
      <c r="E1" s="156" t="s">
        <v>464</v>
      </c>
    </row>
    <row r="2" spans="1:5" ht="15" customHeight="1">
      <c r="A2" s="98">
        <v>1</v>
      </c>
      <c r="B2" s="198" t="s">
        <v>438</v>
      </c>
      <c r="C2" s="199" t="s">
        <v>61</v>
      </c>
      <c r="D2" s="200" t="s">
        <v>37</v>
      </c>
      <c r="E2" s="189">
        <f>'I.B'!H20</f>
        <v>6802</v>
      </c>
    </row>
    <row r="3" spans="1:5" ht="15">
      <c r="A3" s="99">
        <v>2</v>
      </c>
      <c r="B3" s="201" t="s">
        <v>177</v>
      </c>
      <c r="C3" s="202" t="s">
        <v>178</v>
      </c>
      <c r="D3" s="203" t="s">
        <v>279</v>
      </c>
      <c r="E3" s="190">
        <f>'VI.B'!H23</f>
        <v>4728</v>
      </c>
    </row>
    <row r="4" spans="1:8" ht="15" customHeight="1">
      <c r="A4" s="99">
        <v>3</v>
      </c>
      <c r="B4" s="204" t="s">
        <v>420</v>
      </c>
      <c r="C4" s="205" t="s">
        <v>13</v>
      </c>
      <c r="D4" s="203" t="s">
        <v>0</v>
      </c>
      <c r="E4" s="223">
        <f>'I.A'!H20</f>
        <v>2405</v>
      </c>
      <c r="F4" s="45"/>
      <c r="G4" s="45"/>
      <c r="H4" s="51"/>
    </row>
    <row r="5" spans="1:8" ht="15" customHeight="1">
      <c r="A5" s="99">
        <v>4</v>
      </c>
      <c r="B5" s="206" t="s">
        <v>198</v>
      </c>
      <c r="C5" s="207" t="s">
        <v>135</v>
      </c>
      <c r="D5" s="203" t="s">
        <v>248</v>
      </c>
      <c r="E5" s="190">
        <f>'VI.A'!H18</f>
        <v>1830</v>
      </c>
      <c r="F5" s="45"/>
      <c r="G5" s="46"/>
      <c r="H5" s="51"/>
    </row>
    <row r="6" spans="1:8" ht="15" customHeight="1">
      <c r="A6" s="99">
        <v>5</v>
      </c>
      <c r="B6" s="201" t="s">
        <v>450</v>
      </c>
      <c r="C6" s="202" t="s">
        <v>373</v>
      </c>
      <c r="D6" s="203" t="s">
        <v>101</v>
      </c>
      <c r="E6" s="190">
        <f>'II.B'!H14</f>
        <v>1430</v>
      </c>
      <c r="F6" s="45"/>
      <c r="G6" s="46"/>
      <c r="H6" s="51"/>
    </row>
    <row r="7" spans="1:9" ht="15" customHeight="1">
      <c r="A7" s="99">
        <v>6</v>
      </c>
      <c r="B7" s="201" t="s">
        <v>361</v>
      </c>
      <c r="C7" s="202" t="s">
        <v>57</v>
      </c>
      <c r="D7" s="203" t="s">
        <v>69</v>
      </c>
      <c r="E7" s="190">
        <f>'II.A'!H11</f>
        <v>1371</v>
      </c>
      <c r="F7" s="45"/>
      <c r="G7" s="46"/>
      <c r="H7" s="51"/>
      <c r="I7" s="45"/>
    </row>
    <row r="8" spans="1:8" ht="15" customHeight="1">
      <c r="A8" s="99">
        <v>7</v>
      </c>
      <c r="B8" s="201" t="s">
        <v>42</v>
      </c>
      <c r="C8" s="202" t="s">
        <v>31</v>
      </c>
      <c r="D8" s="203" t="s">
        <v>353</v>
      </c>
      <c r="E8" s="190">
        <f>'III.B'!H6</f>
        <v>1290</v>
      </c>
      <c r="F8" s="45"/>
      <c r="G8" s="48"/>
      <c r="H8" s="51"/>
    </row>
    <row r="9" spans="1:8" ht="15" customHeight="1">
      <c r="A9" s="99">
        <v>8</v>
      </c>
      <c r="B9" s="201" t="s">
        <v>356</v>
      </c>
      <c r="C9" s="202" t="s">
        <v>33</v>
      </c>
      <c r="D9" s="203" t="s">
        <v>69</v>
      </c>
      <c r="E9" s="190">
        <f>'II.A'!H7</f>
        <v>1253</v>
      </c>
      <c r="F9" s="45"/>
      <c r="G9" s="46"/>
      <c r="H9" s="51"/>
    </row>
    <row r="10" spans="1:8" ht="15" customHeight="1">
      <c r="A10" s="99">
        <v>9</v>
      </c>
      <c r="B10" s="206" t="s">
        <v>146</v>
      </c>
      <c r="C10" s="207" t="s">
        <v>137</v>
      </c>
      <c r="D10" s="203" t="s">
        <v>200</v>
      </c>
      <c r="E10" s="190">
        <f>'V.A'!H20</f>
        <v>1218</v>
      </c>
      <c r="F10" s="45"/>
      <c r="G10" s="48"/>
      <c r="H10" s="51"/>
    </row>
    <row r="11" spans="1:5" ht="15" customHeight="1">
      <c r="A11" s="99">
        <v>10</v>
      </c>
      <c r="B11" s="206" t="s">
        <v>166</v>
      </c>
      <c r="C11" s="207" t="s">
        <v>85</v>
      </c>
      <c r="D11" s="203" t="s">
        <v>248</v>
      </c>
      <c r="E11" s="190">
        <f>'VI.A'!H5</f>
        <v>1038</v>
      </c>
    </row>
    <row r="12" spans="1:5" ht="15">
      <c r="A12" s="99">
        <v>11</v>
      </c>
      <c r="B12" s="204" t="s">
        <v>409</v>
      </c>
      <c r="C12" s="205" t="s">
        <v>410</v>
      </c>
      <c r="D12" s="203" t="s">
        <v>0</v>
      </c>
      <c r="E12" s="223">
        <f>'I.A'!H8</f>
        <v>985</v>
      </c>
    </row>
    <row r="13" spans="1:8" ht="15" customHeight="1">
      <c r="A13" s="99">
        <v>12</v>
      </c>
      <c r="B13" s="204" t="s">
        <v>413</v>
      </c>
      <c r="C13" s="205" t="s">
        <v>414</v>
      </c>
      <c r="D13" s="203" t="s">
        <v>0</v>
      </c>
      <c r="E13" s="223">
        <f>'I.A'!H13</f>
        <v>985</v>
      </c>
      <c r="F13" s="45"/>
      <c r="G13" s="46"/>
      <c r="H13" s="51"/>
    </row>
    <row r="14" spans="1:5" ht="15" customHeight="1">
      <c r="A14" s="99">
        <v>13</v>
      </c>
      <c r="B14" s="206" t="s">
        <v>151</v>
      </c>
      <c r="C14" s="207" t="s">
        <v>137</v>
      </c>
      <c r="D14" s="203" t="s">
        <v>200</v>
      </c>
      <c r="E14" s="190">
        <f>'V.A'!H26</f>
        <v>955</v>
      </c>
    </row>
    <row r="15" spans="1:8" ht="15" customHeight="1">
      <c r="A15" s="99">
        <v>14</v>
      </c>
      <c r="B15" s="201" t="s">
        <v>78</v>
      </c>
      <c r="C15" s="202" t="s">
        <v>4</v>
      </c>
      <c r="D15" s="203" t="s">
        <v>153</v>
      </c>
      <c r="E15" s="190">
        <f>'IV.A'!H9</f>
        <v>933</v>
      </c>
      <c r="F15" s="45"/>
      <c r="G15" s="47"/>
      <c r="H15" s="51"/>
    </row>
    <row r="16" spans="1:8" ht="15" customHeight="1">
      <c r="A16" s="99">
        <v>15</v>
      </c>
      <c r="B16" s="206" t="s">
        <v>133</v>
      </c>
      <c r="C16" s="207" t="s">
        <v>46</v>
      </c>
      <c r="D16" s="203" t="s">
        <v>200</v>
      </c>
      <c r="E16" s="190">
        <f>'V.A'!H10</f>
        <v>919</v>
      </c>
      <c r="F16" s="45"/>
      <c r="G16" s="46"/>
      <c r="H16" s="51"/>
    </row>
    <row r="17" spans="1:8" ht="15" customHeight="1">
      <c r="A17" s="99">
        <v>16</v>
      </c>
      <c r="B17" s="204" t="s">
        <v>433</v>
      </c>
      <c r="C17" s="205" t="s">
        <v>270</v>
      </c>
      <c r="D17" s="203" t="s">
        <v>37</v>
      </c>
      <c r="E17" s="191">
        <f>'I.B'!H15</f>
        <v>905</v>
      </c>
      <c r="F17" s="45"/>
      <c r="G17" s="46"/>
      <c r="H17" s="51"/>
    </row>
    <row r="18" spans="1:8" ht="15" customHeight="1">
      <c r="A18" s="99">
        <v>17</v>
      </c>
      <c r="B18" s="206" t="s">
        <v>255</v>
      </c>
      <c r="C18" s="207" t="s">
        <v>97</v>
      </c>
      <c r="D18" s="203" t="s">
        <v>345</v>
      </c>
      <c r="E18" s="190">
        <f>'VIII.A'!H6</f>
        <v>777</v>
      </c>
      <c r="F18" s="45"/>
      <c r="G18" s="45"/>
      <c r="H18" s="51"/>
    </row>
    <row r="19" spans="1:9" ht="15">
      <c r="A19" s="99">
        <v>18</v>
      </c>
      <c r="B19" s="201" t="s">
        <v>71</v>
      </c>
      <c r="C19" s="202" t="s">
        <v>4</v>
      </c>
      <c r="D19" s="203" t="s">
        <v>153</v>
      </c>
      <c r="E19" s="190">
        <f>'IV.A'!H2</f>
        <v>764</v>
      </c>
      <c r="F19" s="45"/>
      <c r="G19" s="46"/>
      <c r="H19" s="51"/>
      <c r="I19" s="45"/>
    </row>
    <row r="20" spans="1:5" ht="15" customHeight="1">
      <c r="A20" s="99">
        <v>19</v>
      </c>
      <c r="B20" s="201" t="s">
        <v>39</v>
      </c>
      <c r="C20" s="202" t="s">
        <v>17</v>
      </c>
      <c r="D20" s="208" t="s">
        <v>353</v>
      </c>
      <c r="E20" s="190">
        <f>'III.B'!H3</f>
        <v>753</v>
      </c>
    </row>
    <row r="21" spans="1:5" ht="15" customHeight="1">
      <c r="A21" s="99">
        <v>20</v>
      </c>
      <c r="B21" s="209" t="s">
        <v>136</v>
      </c>
      <c r="C21" s="210" t="s">
        <v>137</v>
      </c>
      <c r="D21" s="211" t="s">
        <v>200</v>
      </c>
      <c r="E21" s="192">
        <f>'V.A'!H13</f>
        <v>753</v>
      </c>
    </row>
    <row r="22" spans="1:8" ht="15" customHeight="1">
      <c r="A22" s="99">
        <v>21</v>
      </c>
      <c r="B22" s="201" t="s">
        <v>60</v>
      </c>
      <c r="C22" s="212" t="s">
        <v>61</v>
      </c>
      <c r="D22" s="208" t="s">
        <v>353</v>
      </c>
      <c r="E22" s="192">
        <f>'III.B'!H15</f>
        <v>738</v>
      </c>
      <c r="F22" s="45"/>
      <c r="G22" s="45"/>
      <c r="H22" s="51"/>
    </row>
    <row r="23" spans="1:8" ht="15">
      <c r="A23" s="99">
        <v>22</v>
      </c>
      <c r="B23" s="201" t="s">
        <v>56</v>
      </c>
      <c r="C23" s="212" t="s">
        <v>57</v>
      </c>
      <c r="D23" s="208" t="s">
        <v>353</v>
      </c>
      <c r="E23" s="192">
        <f>'III.B'!H13</f>
        <v>735</v>
      </c>
      <c r="H23" s="50"/>
    </row>
    <row r="24" spans="1:5" ht="15">
      <c r="A24" s="99">
        <v>23</v>
      </c>
      <c r="B24" s="204" t="s">
        <v>437</v>
      </c>
      <c r="C24" s="213" t="s">
        <v>21</v>
      </c>
      <c r="D24" s="208" t="s">
        <v>37</v>
      </c>
      <c r="E24" s="189">
        <f>'I.B'!H19</f>
        <v>730</v>
      </c>
    </row>
    <row r="25" spans="1:5" ht="15" customHeight="1">
      <c r="A25" s="99"/>
      <c r="B25" s="206" t="s">
        <v>140</v>
      </c>
      <c r="C25" s="214" t="s">
        <v>141</v>
      </c>
      <c r="D25" s="208" t="s">
        <v>200</v>
      </c>
      <c r="E25" s="192">
        <f>'V.A'!H16</f>
        <v>730</v>
      </c>
    </row>
    <row r="26" spans="1:5" ht="15">
      <c r="A26" s="99"/>
      <c r="B26" s="206" t="s">
        <v>140</v>
      </c>
      <c r="C26" s="214" t="s">
        <v>137</v>
      </c>
      <c r="D26" s="208" t="s">
        <v>346</v>
      </c>
      <c r="E26" s="192">
        <f>'VIII.B'!H16</f>
        <v>730</v>
      </c>
    </row>
    <row r="27" spans="1:5" ht="15">
      <c r="A27" s="99">
        <v>26</v>
      </c>
      <c r="B27" s="215" t="s">
        <v>192</v>
      </c>
      <c r="C27" s="216" t="s">
        <v>70</v>
      </c>
      <c r="D27" s="200" t="s">
        <v>279</v>
      </c>
      <c r="E27" s="193">
        <v>727</v>
      </c>
    </row>
    <row r="28" spans="1:8" ht="15" customHeight="1">
      <c r="A28" s="99">
        <v>27</v>
      </c>
      <c r="B28" s="201" t="s">
        <v>391</v>
      </c>
      <c r="C28" s="212" t="s">
        <v>392</v>
      </c>
      <c r="D28" s="208" t="s">
        <v>153</v>
      </c>
      <c r="E28" s="192">
        <f>'IV.A'!H3</f>
        <v>680</v>
      </c>
      <c r="F28" s="45"/>
      <c r="G28" s="46"/>
      <c r="H28" s="51"/>
    </row>
    <row r="29" spans="1:8" ht="15" customHeight="1">
      <c r="A29" s="99">
        <v>28</v>
      </c>
      <c r="B29" s="204" t="s">
        <v>133</v>
      </c>
      <c r="C29" s="213" t="s">
        <v>50</v>
      </c>
      <c r="D29" s="208" t="s">
        <v>37</v>
      </c>
      <c r="E29" s="189">
        <f>'I.B'!H7</f>
        <v>630</v>
      </c>
      <c r="F29" s="45"/>
      <c r="G29" s="48"/>
      <c r="H29" s="51"/>
    </row>
    <row r="30" spans="1:9" ht="15" customHeight="1">
      <c r="A30" s="99">
        <v>29</v>
      </c>
      <c r="B30" s="206" t="s">
        <v>122</v>
      </c>
      <c r="C30" s="214" t="s">
        <v>85</v>
      </c>
      <c r="D30" s="208" t="s">
        <v>402</v>
      </c>
      <c r="E30" s="192">
        <f>'IV.B'!H21</f>
        <v>600</v>
      </c>
      <c r="F30" s="45"/>
      <c r="G30" s="46"/>
      <c r="H30" s="51"/>
      <c r="I30" s="45"/>
    </row>
    <row r="31" spans="1:8" ht="15" customHeight="1">
      <c r="A31" s="99">
        <v>30</v>
      </c>
      <c r="B31" s="201" t="s">
        <v>32</v>
      </c>
      <c r="C31" s="212" t="s">
        <v>33</v>
      </c>
      <c r="D31" s="208" t="s">
        <v>124</v>
      </c>
      <c r="E31" s="189">
        <f>'III.A'!H19</f>
        <v>587</v>
      </c>
      <c r="F31" s="45"/>
      <c r="G31" s="46"/>
      <c r="H31" s="51"/>
    </row>
    <row r="32" spans="1:5" ht="15">
      <c r="A32" s="99">
        <v>31</v>
      </c>
      <c r="B32" s="201" t="s">
        <v>68</v>
      </c>
      <c r="C32" s="212" t="s">
        <v>41</v>
      </c>
      <c r="D32" s="208" t="s">
        <v>353</v>
      </c>
      <c r="E32" s="192">
        <f>'III.B'!H20</f>
        <v>584</v>
      </c>
    </row>
    <row r="33" spans="1:5" ht="15" customHeight="1">
      <c r="A33" s="99">
        <v>32</v>
      </c>
      <c r="B33" s="206" t="s">
        <v>56</v>
      </c>
      <c r="C33" s="214" t="s">
        <v>85</v>
      </c>
      <c r="D33" s="208" t="s">
        <v>346</v>
      </c>
      <c r="E33" s="192">
        <f>'VIII.B'!H15</f>
        <v>580</v>
      </c>
    </row>
    <row r="34" spans="1:8" ht="15" customHeight="1">
      <c r="A34" s="99">
        <v>33</v>
      </c>
      <c r="B34" s="201" t="s">
        <v>1</v>
      </c>
      <c r="C34" s="212" t="s">
        <v>2</v>
      </c>
      <c r="D34" s="208" t="s">
        <v>124</v>
      </c>
      <c r="E34" s="189">
        <f>'III.A'!H2</f>
        <v>574</v>
      </c>
      <c r="F34" s="45"/>
      <c r="G34" s="48"/>
      <c r="H34" s="51"/>
    </row>
    <row r="35" spans="1:5" ht="15" customHeight="1">
      <c r="A35" s="99">
        <v>34</v>
      </c>
      <c r="B35" s="201" t="s">
        <v>365</v>
      </c>
      <c r="C35" s="212" t="s">
        <v>366</v>
      </c>
      <c r="D35" s="208" t="s">
        <v>69</v>
      </c>
      <c r="E35" s="192">
        <f>'II.A'!H20</f>
        <v>573</v>
      </c>
    </row>
    <row r="36" spans="1:5" ht="15">
      <c r="A36" s="99">
        <v>35</v>
      </c>
      <c r="B36" s="201" t="s">
        <v>36</v>
      </c>
      <c r="C36" s="212" t="s">
        <v>31</v>
      </c>
      <c r="D36" s="208" t="s">
        <v>124</v>
      </c>
      <c r="E36" s="189">
        <f>'III.A'!H21</f>
        <v>557</v>
      </c>
    </row>
    <row r="37" spans="1:8" ht="15" customHeight="1">
      <c r="A37" s="99">
        <v>36</v>
      </c>
      <c r="B37" s="201" t="s">
        <v>12</v>
      </c>
      <c r="C37" s="212" t="s">
        <v>260</v>
      </c>
      <c r="D37" s="208" t="s">
        <v>348</v>
      </c>
      <c r="E37" s="192">
        <f>'IX.A'!H6</f>
        <v>555</v>
      </c>
      <c r="F37" s="45"/>
      <c r="G37" s="46"/>
      <c r="H37" s="51"/>
    </row>
    <row r="38" spans="1:9" ht="15" customHeight="1">
      <c r="A38" s="99">
        <v>37</v>
      </c>
      <c r="B38" s="201" t="s">
        <v>12</v>
      </c>
      <c r="C38" s="212" t="s">
        <v>13</v>
      </c>
      <c r="D38" s="208" t="s">
        <v>124</v>
      </c>
      <c r="E38" s="189">
        <f>'III.A'!H7</f>
        <v>550</v>
      </c>
      <c r="F38" s="45"/>
      <c r="G38" s="46"/>
      <c r="H38" s="51"/>
      <c r="I38" s="45"/>
    </row>
    <row r="39" spans="1:8" ht="15" customHeight="1">
      <c r="A39" s="99">
        <v>38</v>
      </c>
      <c r="B39" s="201" t="s">
        <v>365</v>
      </c>
      <c r="C39" s="212" t="s">
        <v>17</v>
      </c>
      <c r="D39" s="208" t="s">
        <v>101</v>
      </c>
      <c r="E39" s="192">
        <f>'II.B'!H20</f>
        <v>540</v>
      </c>
      <c r="F39" s="45"/>
      <c r="G39" s="46"/>
      <c r="H39" s="51"/>
    </row>
    <row r="40" spans="1:8" ht="15" customHeight="1">
      <c r="A40" s="99">
        <v>39</v>
      </c>
      <c r="B40" s="201" t="s">
        <v>229</v>
      </c>
      <c r="C40" s="212" t="s">
        <v>31</v>
      </c>
      <c r="D40" s="208" t="s">
        <v>320</v>
      </c>
      <c r="E40" s="192">
        <f>'VII.B'!H9</f>
        <v>536</v>
      </c>
      <c r="F40" s="45"/>
      <c r="G40" s="45"/>
      <c r="H40" s="51"/>
    </row>
    <row r="41" spans="1:9" ht="15" customHeight="1">
      <c r="A41" s="99">
        <v>40</v>
      </c>
      <c r="B41" s="215" t="s">
        <v>171</v>
      </c>
      <c r="C41" s="216" t="s">
        <v>172</v>
      </c>
      <c r="D41" s="200" t="s">
        <v>279</v>
      </c>
      <c r="E41" s="194">
        <f>'VI.B'!H18</f>
        <v>532</v>
      </c>
      <c r="F41" s="45"/>
      <c r="G41" s="46"/>
      <c r="H41" s="51"/>
      <c r="I41" s="45"/>
    </row>
    <row r="42" spans="1:9" ht="15">
      <c r="A42" s="99">
        <v>41</v>
      </c>
      <c r="B42" s="201" t="s">
        <v>220</v>
      </c>
      <c r="C42" s="202" t="s">
        <v>17</v>
      </c>
      <c r="D42" s="203" t="s">
        <v>299</v>
      </c>
      <c r="E42" s="194">
        <f>'VII.A'!H19</f>
        <v>520</v>
      </c>
      <c r="F42" s="45"/>
      <c r="G42" s="46"/>
      <c r="H42" s="51"/>
      <c r="I42" s="45"/>
    </row>
    <row r="43" spans="1:8" ht="15" customHeight="1">
      <c r="A43" s="99">
        <v>42</v>
      </c>
      <c r="B43" s="201" t="s">
        <v>75</v>
      </c>
      <c r="C43" s="202" t="s">
        <v>76</v>
      </c>
      <c r="D43" s="203" t="s">
        <v>153</v>
      </c>
      <c r="E43" s="194">
        <f>'IV.A'!H7</f>
        <v>505</v>
      </c>
      <c r="F43" s="45"/>
      <c r="G43" s="46"/>
      <c r="H43" s="51"/>
    </row>
    <row r="44" spans="1:8" ht="15" customHeight="1" thickBot="1">
      <c r="A44" s="100">
        <v>43</v>
      </c>
      <c r="B44" s="217" t="s">
        <v>377</v>
      </c>
      <c r="C44" s="218" t="s">
        <v>48</v>
      </c>
      <c r="D44" s="219" t="s">
        <v>101</v>
      </c>
      <c r="E44" s="195">
        <f>'II.B'!H11</f>
        <v>480</v>
      </c>
      <c r="F44" s="45"/>
      <c r="G44" s="45"/>
      <c r="H44" s="51"/>
    </row>
    <row r="45" spans="1:8" ht="15" customHeight="1">
      <c r="A45" s="98">
        <v>44</v>
      </c>
      <c r="B45" s="215" t="s">
        <v>440</v>
      </c>
      <c r="C45" s="216" t="s">
        <v>66</v>
      </c>
      <c r="D45" s="200" t="s">
        <v>69</v>
      </c>
      <c r="E45" s="194">
        <f>'II.A'!H13</f>
        <v>474</v>
      </c>
      <c r="F45" s="45"/>
      <c r="G45" s="46"/>
      <c r="H45" s="51"/>
    </row>
    <row r="46" spans="1:5" ht="15">
      <c r="A46" s="99">
        <v>45</v>
      </c>
      <c r="B46" s="209" t="s">
        <v>170</v>
      </c>
      <c r="C46" s="220" t="s">
        <v>48</v>
      </c>
      <c r="D46" s="200" t="s">
        <v>248</v>
      </c>
      <c r="E46" s="194">
        <f>'VI.A'!H10</f>
        <v>448</v>
      </c>
    </row>
    <row r="47" spans="1:8" ht="15" customHeight="1">
      <c r="A47" s="99">
        <v>46</v>
      </c>
      <c r="B47" s="201" t="s">
        <v>307</v>
      </c>
      <c r="C47" s="202" t="s">
        <v>263</v>
      </c>
      <c r="D47" s="203" t="s">
        <v>348</v>
      </c>
      <c r="E47" s="194">
        <f>'IX.A'!H14</f>
        <v>431</v>
      </c>
      <c r="F47" s="45"/>
      <c r="G47" s="46"/>
      <c r="H47" s="51"/>
    </row>
    <row r="48" spans="1:8" ht="15" customHeight="1">
      <c r="A48" s="99">
        <v>47</v>
      </c>
      <c r="B48" s="206" t="s">
        <v>168</v>
      </c>
      <c r="C48" s="207" t="s">
        <v>53</v>
      </c>
      <c r="D48" s="203" t="s">
        <v>248</v>
      </c>
      <c r="E48" s="194">
        <f>'VI.A'!H8</f>
        <v>420</v>
      </c>
      <c r="F48" s="45"/>
      <c r="G48" s="46"/>
      <c r="H48" s="51"/>
    </row>
    <row r="49" spans="1:5" ht="15">
      <c r="A49" s="99">
        <v>48</v>
      </c>
      <c r="B49" s="221" t="s">
        <v>152</v>
      </c>
      <c r="C49" s="222" t="s">
        <v>15</v>
      </c>
      <c r="D49" s="203" t="s">
        <v>200</v>
      </c>
      <c r="E49" s="196">
        <f>'V.A'!H27</f>
        <v>412</v>
      </c>
    </row>
    <row r="50" spans="1:5" ht="15" customHeight="1">
      <c r="A50" s="99">
        <v>49</v>
      </c>
      <c r="B50" s="215" t="s">
        <v>5</v>
      </c>
      <c r="C50" s="216" t="s">
        <v>6</v>
      </c>
      <c r="D50" s="200" t="s">
        <v>124</v>
      </c>
      <c r="E50" s="197">
        <f>'III.A'!H4</f>
        <v>410</v>
      </c>
    </row>
    <row r="51" spans="1:8" ht="15" customHeight="1" thickBot="1">
      <c r="A51" s="100">
        <v>50</v>
      </c>
      <c r="B51" s="217" t="s">
        <v>218</v>
      </c>
      <c r="C51" s="218" t="s">
        <v>85</v>
      </c>
      <c r="D51" s="219" t="s">
        <v>299</v>
      </c>
      <c r="E51" s="195">
        <f>'VII.A'!H16</f>
        <v>399</v>
      </c>
      <c r="F51" s="45"/>
      <c r="G51" s="46"/>
      <c r="H51" s="51"/>
    </row>
    <row r="52" spans="1:5" ht="15" customHeight="1">
      <c r="A52" s="98">
        <v>51</v>
      </c>
      <c r="B52" s="209" t="s">
        <v>126</v>
      </c>
      <c r="C52" s="220" t="s">
        <v>57</v>
      </c>
      <c r="D52" s="200" t="s">
        <v>200</v>
      </c>
      <c r="E52" s="194">
        <f>'V.A'!H5</f>
        <v>398</v>
      </c>
    </row>
    <row r="53" spans="1:8" ht="15" customHeight="1">
      <c r="A53" s="99">
        <v>52</v>
      </c>
      <c r="B53" s="215" t="s">
        <v>162</v>
      </c>
      <c r="C53" s="216" t="s">
        <v>97</v>
      </c>
      <c r="D53" s="200" t="s">
        <v>279</v>
      </c>
      <c r="E53" s="194">
        <f>'VI.B'!H9</f>
        <v>377</v>
      </c>
      <c r="F53" s="45"/>
      <c r="G53" s="46"/>
      <c r="H53" s="51"/>
    </row>
    <row r="54" spans="1:8" ht="15">
      <c r="A54" s="99">
        <v>53</v>
      </c>
      <c r="B54" s="201" t="s">
        <v>227</v>
      </c>
      <c r="C54" s="202" t="s">
        <v>61</v>
      </c>
      <c r="D54" s="203" t="s">
        <v>320</v>
      </c>
      <c r="E54" s="194">
        <f>'VII.B'!H6</f>
        <v>341</v>
      </c>
      <c r="H54" s="50"/>
    </row>
    <row r="55" spans="1:8" ht="15">
      <c r="A55" s="99">
        <v>54</v>
      </c>
      <c r="B55" s="201" t="s">
        <v>369</v>
      </c>
      <c r="C55" s="202" t="s">
        <v>370</v>
      </c>
      <c r="D55" s="203" t="s">
        <v>69</v>
      </c>
      <c r="E55" s="194">
        <f>'II.A'!H23</f>
        <v>333</v>
      </c>
      <c r="H55" s="50"/>
    </row>
    <row r="56" spans="1:8" ht="15" customHeight="1">
      <c r="A56" s="99">
        <v>55</v>
      </c>
      <c r="B56" s="206" t="s">
        <v>253</v>
      </c>
      <c r="C56" s="207" t="s">
        <v>254</v>
      </c>
      <c r="D56" s="203" t="s">
        <v>345</v>
      </c>
      <c r="E56" s="194">
        <f>'VIII.A'!H5</f>
        <v>329</v>
      </c>
      <c r="H56" s="50"/>
    </row>
    <row r="57" spans="1:5" ht="15" customHeight="1">
      <c r="A57" s="99">
        <v>56</v>
      </c>
      <c r="B57" s="201" t="s">
        <v>81</v>
      </c>
      <c r="C57" s="202" t="s">
        <v>4</v>
      </c>
      <c r="D57" s="203" t="s">
        <v>153</v>
      </c>
      <c r="E57" s="194">
        <f>'IV.A'!H11</f>
        <v>326</v>
      </c>
    </row>
    <row r="58" spans="1:8" ht="15" customHeight="1">
      <c r="A58" s="99">
        <v>57</v>
      </c>
      <c r="B58" s="206" t="s">
        <v>325</v>
      </c>
      <c r="C58" s="207" t="s">
        <v>95</v>
      </c>
      <c r="D58" s="203" t="s">
        <v>349</v>
      </c>
      <c r="E58" s="194">
        <f>'IX.B'!H5</f>
        <v>315</v>
      </c>
      <c r="F58" s="45"/>
      <c r="G58" s="46"/>
      <c r="H58" s="51"/>
    </row>
    <row r="59" spans="1:5" ht="15" customHeight="1">
      <c r="A59" s="99">
        <v>58</v>
      </c>
      <c r="B59" s="206" t="s">
        <v>256</v>
      </c>
      <c r="C59" s="207" t="s">
        <v>50</v>
      </c>
      <c r="D59" s="203" t="s">
        <v>345</v>
      </c>
      <c r="E59" s="194">
        <f>'VIII.A'!H8</f>
        <v>313</v>
      </c>
    </row>
    <row r="60" spans="1:8" ht="15" customHeight="1">
      <c r="A60" s="99">
        <v>59</v>
      </c>
      <c r="B60" s="201" t="s">
        <v>354</v>
      </c>
      <c r="C60" s="202" t="s">
        <v>178</v>
      </c>
      <c r="D60" s="203" t="s">
        <v>69</v>
      </c>
      <c r="E60" s="194">
        <f>'II.A'!H4</f>
        <v>308</v>
      </c>
      <c r="F60" s="45"/>
      <c r="G60" s="46"/>
      <c r="H60" s="51"/>
    </row>
    <row r="61" spans="1:8" ht="15" customHeight="1">
      <c r="A61" s="99">
        <v>60</v>
      </c>
      <c r="B61" s="201" t="s">
        <v>357</v>
      </c>
      <c r="C61" s="202" t="s">
        <v>358</v>
      </c>
      <c r="D61" s="203" t="s">
        <v>69</v>
      </c>
      <c r="E61" s="194">
        <f>'II.A'!H8</f>
        <v>292</v>
      </c>
      <c r="F61" s="45"/>
      <c r="G61" s="48"/>
      <c r="H61" s="51"/>
    </row>
    <row r="62" spans="1:8" ht="15" customHeight="1">
      <c r="A62" s="99">
        <v>61</v>
      </c>
      <c r="B62" s="209" t="s">
        <v>259</v>
      </c>
      <c r="C62" s="220" t="s">
        <v>260</v>
      </c>
      <c r="D62" s="203" t="s">
        <v>345</v>
      </c>
      <c r="E62" s="194">
        <f>'VIII.A'!H10</f>
        <v>289</v>
      </c>
      <c r="F62" s="45"/>
      <c r="G62" s="45"/>
      <c r="H62" s="51"/>
    </row>
    <row r="63" spans="1:8" ht="15" customHeight="1">
      <c r="A63" s="99">
        <v>62</v>
      </c>
      <c r="B63" s="201" t="s">
        <v>167</v>
      </c>
      <c r="C63" s="202" t="s">
        <v>70</v>
      </c>
      <c r="D63" s="203" t="s">
        <v>279</v>
      </c>
      <c r="E63" s="194">
        <f>'VI.B'!H13</f>
        <v>286</v>
      </c>
      <c r="F63" s="45"/>
      <c r="G63" s="48"/>
      <c r="H63" s="51"/>
    </row>
    <row r="64" spans="1:8" ht="15" customHeight="1">
      <c r="A64" s="99">
        <v>63</v>
      </c>
      <c r="B64" s="206" t="s">
        <v>131</v>
      </c>
      <c r="C64" s="207" t="s">
        <v>132</v>
      </c>
      <c r="D64" s="203" t="s">
        <v>200</v>
      </c>
      <c r="E64" s="194">
        <f>'V.A'!H9</f>
        <v>281</v>
      </c>
      <c r="F64" s="45"/>
      <c r="G64" s="48"/>
      <c r="H64" s="51"/>
    </row>
    <row r="65" spans="1:5" ht="15" customHeight="1">
      <c r="A65" s="99">
        <v>64</v>
      </c>
      <c r="B65" s="201" t="s">
        <v>131</v>
      </c>
      <c r="C65" s="202" t="s">
        <v>70</v>
      </c>
      <c r="D65" s="203" t="s">
        <v>101</v>
      </c>
      <c r="E65" s="194">
        <f>'II.B'!H9</f>
        <v>280</v>
      </c>
    </row>
    <row r="66" spans="1:5" ht="15" customHeight="1">
      <c r="A66" s="99">
        <v>65</v>
      </c>
      <c r="B66" s="201" t="s">
        <v>384</v>
      </c>
      <c r="C66" s="202" t="s">
        <v>9</v>
      </c>
      <c r="D66" s="203" t="s">
        <v>101</v>
      </c>
      <c r="E66" s="194">
        <f>'II.B'!H19</f>
        <v>268</v>
      </c>
    </row>
    <row r="67" spans="1:8" ht="15" customHeight="1">
      <c r="A67" s="99">
        <v>66</v>
      </c>
      <c r="B67" s="201" t="s">
        <v>237</v>
      </c>
      <c r="C67" s="202" t="s">
        <v>110</v>
      </c>
      <c r="D67" s="203" t="s">
        <v>320</v>
      </c>
      <c r="E67" s="194">
        <f>'VII.B'!H18</f>
        <v>262</v>
      </c>
      <c r="F67" s="45"/>
      <c r="G67" s="45"/>
      <c r="H67" s="51"/>
    </row>
    <row r="68" spans="1:5" ht="15" customHeight="1">
      <c r="A68" s="99">
        <v>67</v>
      </c>
      <c r="B68" s="201" t="s">
        <v>209</v>
      </c>
      <c r="C68" s="202" t="s">
        <v>90</v>
      </c>
      <c r="D68" s="203" t="s">
        <v>299</v>
      </c>
      <c r="E68" s="194">
        <f>'VII.A'!H8</f>
        <v>250</v>
      </c>
    </row>
    <row r="69" spans="1:8" ht="15" customHeight="1">
      <c r="A69" s="99"/>
      <c r="B69" s="201" t="s">
        <v>223</v>
      </c>
      <c r="C69" s="202" t="s">
        <v>24</v>
      </c>
      <c r="D69" s="203" t="s">
        <v>320</v>
      </c>
      <c r="E69" s="194">
        <f>'VII.B'!H3</f>
        <v>250</v>
      </c>
      <c r="F69" s="45"/>
      <c r="G69" s="46"/>
      <c r="H69" s="51"/>
    </row>
    <row r="70" spans="1:5" ht="15" customHeight="1">
      <c r="A70" s="99">
        <v>69</v>
      </c>
      <c r="B70" s="201" t="s">
        <v>154</v>
      </c>
      <c r="C70" s="202" t="s">
        <v>155</v>
      </c>
      <c r="D70" s="203" t="s">
        <v>279</v>
      </c>
      <c r="E70" s="194">
        <f>'VI.B'!H3</f>
        <v>240</v>
      </c>
    </row>
    <row r="71" spans="1:8" ht="15">
      <c r="A71" s="99">
        <v>70</v>
      </c>
      <c r="B71" s="206" t="s">
        <v>38</v>
      </c>
      <c r="C71" s="207" t="s">
        <v>70</v>
      </c>
      <c r="D71" s="203" t="s">
        <v>200</v>
      </c>
      <c r="E71" s="194">
        <f>'V.A'!H3</f>
        <v>239</v>
      </c>
      <c r="F71" s="45"/>
      <c r="G71" s="46"/>
      <c r="H71" s="51"/>
    </row>
    <row r="72" spans="1:8" ht="15" customHeight="1">
      <c r="A72" s="99">
        <v>71</v>
      </c>
      <c r="B72" s="201" t="s">
        <v>188</v>
      </c>
      <c r="C72" s="202" t="s">
        <v>41</v>
      </c>
      <c r="D72" s="203" t="s">
        <v>279</v>
      </c>
      <c r="E72" s="194">
        <f>'VI.B'!H16</f>
        <v>238</v>
      </c>
      <c r="F72" s="45"/>
      <c r="G72" s="46"/>
      <c r="H72" s="51"/>
    </row>
    <row r="73" spans="1:9" ht="15">
      <c r="A73" s="99"/>
      <c r="B73" s="206" t="s">
        <v>283</v>
      </c>
      <c r="C73" s="207" t="s">
        <v>258</v>
      </c>
      <c r="D73" s="203" t="s">
        <v>346</v>
      </c>
      <c r="E73" s="194">
        <f>'VIII.B'!H5</f>
        <v>238</v>
      </c>
      <c r="F73" s="45"/>
      <c r="G73" s="46"/>
      <c r="H73" s="51"/>
      <c r="I73" s="45"/>
    </row>
    <row r="74" spans="1:5" ht="15">
      <c r="A74" s="99">
        <v>73</v>
      </c>
      <c r="B74" s="206" t="s">
        <v>191</v>
      </c>
      <c r="C74" s="207" t="s">
        <v>66</v>
      </c>
      <c r="D74" s="203" t="s">
        <v>248</v>
      </c>
      <c r="E74" s="194">
        <f>'VI.A'!H12</f>
        <v>237</v>
      </c>
    </row>
    <row r="75" spans="1:5" ht="15" customHeight="1">
      <c r="A75" s="99">
        <v>74</v>
      </c>
      <c r="B75" s="206" t="s">
        <v>171</v>
      </c>
      <c r="C75" s="207" t="s">
        <v>15</v>
      </c>
      <c r="D75" s="203" t="s">
        <v>346</v>
      </c>
      <c r="E75" s="194">
        <f>'VIII.B'!H18</f>
        <v>229.5</v>
      </c>
    </row>
    <row r="76" spans="1:8" ht="15" customHeight="1">
      <c r="A76" s="99">
        <v>75</v>
      </c>
      <c r="B76" s="201" t="s">
        <v>363</v>
      </c>
      <c r="C76" s="202" t="s">
        <v>70</v>
      </c>
      <c r="D76" s="203" t="s">
        <v>69</v>
      </c>
      <c r="E76" s="194">
        <f>'II.A'!H15</f>
        <v>227</v>
      </c>
      <c r="F76" s="45"/>
      <c r="G76" s="46"/>
      <c r="H76" s="51"/>
    </row>
    <row r="77" spans="1:5" ht="15" customHeight="1">
      <c r="A77" s="99">
        <v>76</v>
      </c>
      <c r="B77" s="201" t="s">
        <v>92</v>
      </c>
      <c r="C77" s="202" t="s">
        <v>31</v>
      </c>
      <c r="D77" s="203" t="s">
        <v>69</v>
      </c>
      <c r="E77" s="194">
        <f>'II.A'!H17</f>
        <v>224</v>
      </c>
    </row>
    <row r="78" spans="1:8" ht="15" customHeight="1">
      <c r="A78" s="99"/>
      <c r="B78" s="206" t="s">
        <v>103</v>
      </c>
      <c r="C78" s="207" t="s">
        <v>53</v>
      </c>
      <c r="D78" s="203" t="s">
        <v>402</v>
      </c>
      <c r="E78" s="194">
        <f>'IV.B'!H3</f>
        <v>224</v>
      </c>
      <c r="F78" s="45"/>
      <c r="G78" s="45"/>
      <c r="H78" s="51"/>
    </row>
    <row r="79" spans="1:9" ht="15" customHeight="1">
      <c r="A79" s="99"/>
      <c r="B79" s="206" t="s">
        <v>148</v>
      </c>
      <c r="C79" s="207" t="s">
        <v>17</v>
      </c>
      <c r="D79" s="203" t="s">
        <v>200</v>
      </c>
      <c r="E79" s="194">
        <f>'V.A'!H24</f>
        <v>224</v>
      </c>
      <c r="F79" s="45"/>
      <c r="G79" s="46"/>
      <c r="H79" s="51"/>
      <c r="I79" s="45"/>
    </row>
    <row r="80" spans="1:8" ht="15">
      <c r="A80" s="99">
        <v>79</v>
      </c>
      <c r="B80" s="206" t="s">
        <v>289</v>
      </c>
      <c r="C80" s="207" t="s">
        <v>24</v>
      </c>
      <c r="D80" s="203" t="s">
        <v>346</v>
      </c>
      <c r="E80" s="194">
        <f>'VIII.B'!H10</f>
        <v>221</v>
      </c>
      <c r="F80" s="45"/>
      <c r="G80" s="46"/>
      <c r="H80" s="51"/>
    </row>
    <row r="81" spans="1:9" ht="15" customHeight="1">
      <c r="A81" s="99">
        <v>80</v>
      </c>
      <c r="B81" s="201" t="s">
        <v>49</v>
      </c>
      <c r="C81" s="202" t="s">
        <v>31</v>
      </c>
      <c r="D81" s="203" t="s">
        <v>69</v>
      </c>
      <c r="E81" s="194">
        <f>'II.A'!H12</f>
        <v>218</v>
      </c>
      <c r="F81" s="45"/>
      <c r="G81" s="46"/>
      <c r="H81" s="51"/>
      <c r="I81" s="45"/>
    </row>
    <row r="82" spans="1:9" ht="15" customHeight="1">
      <c r="A82" s="99">
        <v>81</v>
      </c>
      <c r="B82" s="201" t="s">
        <v>187</v>
      </c>
      <c r="C82" s="202" t="s">
        <v>97</v>
      </c>
      <c r="D82" s="203" t="s">
        <v>279</v>
      </c>
      <c r="E82" s="194">
        <f>'VI.B'!H15</f>
        <v>213</v>
      </c>
      <c r="F82" s="45"/>
      <c r="G82" s="46"/>
      <c r="H82" s="51"/>
      <c r="I82" s="45"/>
    </row>
    <row r="83" spans="1:9" ht="15" customHeight="1">
      <c r="A83" s="99">
        <v>82</v>
      </c>
      <c r="B83" s="209" t="s">
        <v>324</v>
      </c>
      <c r="C83" s="220" t="s">
        <v>50</v>
      </c>
      <c r="D83" s="203" t="s">
        <v>349</v>
      </c>
      <c r="E83" s="196">
        <f>'IX.B'!H4</f>
        <v>211</v>
      </c>
      <c r="F83" s="45"/>
      <c r="G83" s="46"/>
      <c r="H83" s="51"/>
      <c r="I83" s="45"/>
    </row>
    <row r="84" spans="1:5" ht="15">
      <c r="A84" s="99">
        <v>83</v>
      </c>
      <c r="B84" s="206" t="s">
        <v>339</v>
      </c>
      <c r="C84" s="207" t="s">
        <v>44</v>
      </c>
      <c r="D84" s="203" t="s">
        <v>349</v>
      </c>
      <c r="E84" s="196">
        <f>'IX.B'!H17</f>
        <v>209</v>
      </c>
    </row>
    <row r="85" spans="1:5" ht="15">
      <c r="A85" s="99">
        <v>84</v>
      </c>
      <c r="B85" s="201" t="s">
        <v>259</v>
      </c>
      <c r="C85" s="202" t="s">
        <v>97</v>
      </c>
      <c r="D85" s="203" t="s">
        <v>348</v>
      </c>
      <c r="E85" s="196">
        <f>'IX.A'!H12</f>
        <v>208</v>
      </c>
    </row>
    <row r="86" spans="1:5" ht="15" customHeight="1">
      <c r="A86" s="99">
        <v>85</v>
      </c>
      <c r="B86" s="204" t="s">
        <v>92</v>
      </c>
      <c r="C86" s="205" t="s">
        <v>50</v>
      </c>
      <c r="D86" s="203" t="s">
        <v>0</v>
      </c>
      <c r="E86" s="224">
        <f>'I.A'!H14</f>
        <v>206</v>
      </c>
    </row>
    <row r="87" spans="1:5" ht="15" customHeight="1">
      <c r="A87" s="99"/>
      <c r="B87" s="204" t="s">
        <v>434</v>
      </c>
      <c r="C87" s="205" t="s">
        <v>76</v>
      </c>
      <c r="D87" s="203" t="s">
        <v>37</v>
      </c>
      <c r="E87" s="225">
        <f>'I.B'!H16</f>
        <v>206</v>
      </c>
    </row>
    <row r="88" spans="1:8" ht="15" customHeight="1">
      <c r="A88" s="99">
        <v>87</v>
      </c>
      <c r="B88" s="206" t="s">
        <v>86</v>
      </c>
      <c r="C88" s="207" t="s">
        <v>48</v>
      </c>
      <c r="D88" s="203" t="s">
        <v>200</v>
      </c>
      <c r="E88" s="196">
        <f>'V.A'!H11</f>
        <v>202</v>
      </c>
      <c r="F88" s="45"/>
      <c r="G88" s="48"/>
      <c r="H88" s="51"/>
    </row>
    <row r="89" spans="1:5" ht="15">
      <c r="A89" s="99">
        <v>88</v>
      </c>
      <c r="B89" s="206" t="s">
        <v>112</v>
      </c>
      <c r="C89" s="207" t="s">
        <v>50</v>
      </c>
      <c r="D89" s="203" t="s">
        <v>402</v>
      </c>
      <c r="E89" s="196">
        <f>'IV.B'!H13</f>
        <v>200</v>
      </c>
    </row>
    <row r="90" spans="1:9" ht="15" customHeight="1">
      <c r="A90" s="99">
        <v>89</v>
      </c>
      <c r="B90" s="201" t="s">
        <v>82</v>
      </c>
      <c r="C90" s="202" t="s">
        <v>59</v>
      </c>
      <c r="D90" s="203" t="s">
        <v>153</v>
      </c>
      <c r="E90" s="196">
        <f>'IV.A'!H12</f>
        <v>191</v>
      </c>
      <c r="F90" s="45"/>
      <c r="G90" s="46"/>
      <c r="H90" s="51"/>
      <c r="I90" s="45"/>
    </row>
    <row r="91" spans="1:8" ht="15">
      <c r="A91" s="99">
        <v>90</v>
      </c>
      <c r="B91" s="206" t="s">
        <v>329</v>
      </c>
      <c r="C91" s="207" t="s">
        <v>33</v>
      </c>
      <c r="D91" s="203" t="s">
        <v>349</v>
      </c>
      <c r="E91" s="196">
        <f>'IX.B'!H9</f>
        <v>183.5</v>
      </c>
      <c r="F91" s="45"/>
      <c r="G91" s="46"/>
      <c r="H91" s="51"/>
    </row>
    <row r="92" spans="1:9" ht="15">
      <c r="A92" s="99">
        <v>91</v>
      </c>
      <c r="B92" s="201" t="s">
        <v>202</v>
      </c>
      <c r="C92" s="202" t="s">
        <v>137</v>
      </c>
      <c r="D92" s="203" t="s">
        <v>299</v>
      </c>
      <c r="E92" s="196">
        <f>'VII.A'!H3</f>
        <v>181</v>
      </c>
      <c r="F92" s="45"/>
      <c r="G92" s="46"/>
      <c r="H92" s="51"/>
      <c r="I92" s="45"/>
    </row>
    <row r="93" spans="1:8" ht="15" customHeight="1">
      <c r="A93" s="99">
        <v>92</v>
      </c>
      <c r="B93" s="201" t="s">
        <v>136</v>
      </c>
      <c r="C93" s="202" t="s">
        <v>17</v>
      </c>
      <c r="D93" s="203" t="s">
        <v>69</v>
      </c>
      <c r="E93" s="196">
        <f>'II.A'!H14</f>
        <v>178</v>
      </c>
      <c r="H93" s="50"/>
    </row>
    <row r="94" spans="1:8" ht="15" customHeight="1">
      <c r="A94" s="99">
        <v>93</v>
      </c>
      <c r="B94" s="206" t="s">
        <v>117</v>
      </c>
      <c r="C94" s="207" t="s">
        <v>118</v>
      </c>
      <c r="D94" s="203" t="s">
        <v>402</v>
      </c>
      <c r="E94" s="196">
        <f>'IV.B'!H18</f>
        <v>176</v>
      </c>
      <c r="F94" s="45"/>
      <c r="G94" s="46"/>
      <c r="H94" s="51"/>
    </row>
    <row r="95" spans="1:8" ht="15" customHeight="1">
      <c r="A95" s="99"/>
      <c r="B95" s="201" t="s">
        <v>117</v>
      </c>
      <c r="C95" s="202" t="s">
        <v>110</v>
      </c>
      <c r="D95" s="203" t="s">
        <v>348</v>
      </c>
      <c r="E95" s="196">
        <f>'IX.A'!H18</f>
        <v>176</v>
      </c>
      <c r="F95" s="45"/>
      <c r="G95" s="45"/>
      <c r="H95" s="51"/>
    </row>
    <row r="96" spans="1:8" ht="15">
      <c r="A96" s="99">
        <v>95</v>
      </c>
      <c r="B96" s="206" t="s">
        <v>113</v>
      </c>
      <c r="C96" s="207" t="s">
        <v>114</v>
      </c>
      <c r="D96" s="203" t="s">
        <v>402</v>
      </c>
      <c r="E96" s="196">
        <f>'IV.B'!H14</f>
        <v>173</v>
      </c>
      <c r="F96" s="45"/>
      <c r="G96" s="46"/>
      <c r="H96" s="51"/>
    </row>
    <row r="97" spans="1:5" ht="15" customHeight="1">
      <c r="A97" s="99"/>
      <c r="B97" s="201" t="s">
        <v>113</v>
      </c>
      <c r="C97" s="202" t="s">
        <v>9</v>
      </c>
      <c r="D97" s="203" t="s">
        <v>279</v>
      </c>
      <c r="E97" s="196">
        <f>'VI.B'!H14</f>
        <v>173</v>
      </c>
    </row>
    <row r="98" spans="1:8" ht="15">
      <c r="A98" s="99">
        <v>97</v>
      </c>
      <c r="B98" s="204" t="s">
        <v>431</v>
      </c>
      <c r="C98" s="205" t="s">
        <v>9</v>
      </c>
      <c r="D98" s="203" t="s">
        <v>37</v>
      </c>
      <c r="E98" s="225">
        <f>'I.B'!H11</f>
        <v>154</v>
      </c>
      <c r="F98" s="45"/>
      <c r="G98" s="46"/>
      <c r="H98" s="51"/>
    </row>
    <row r="99" spans="1:5" ht="15" customHeight="1">
      <c r="A99" s="99">
        <v>98</v>
      </c>
      <c r="B99" s="206" t="s">
        <v>284</v>
      </c>
      <c r="C99" s="207" t="s">
        <v>285</v>
      </c>
      <c r="D99" s="203" t="s">
        <v>346</v>
      </c>
      <c r="E99" s="196">
        <f>'VIII.B'!H7</f>
        <v>152</v>
      </c>
    </row>
    <row r="100" spans="1:5" ht="15">
      <c r="A100" s="99"/>
      <c r="B100" s="201" t="s">
        <v>316</v>
      </c>
      <c r="C100" s="202" t="s">
        <v>258</v>
      </c>
      <c r="D100" s="203" t="s">
        <v>348</v>
      </c>
      <c r="E100" s="196">
        <f>'IX.A'!H21</f>
        <v>152</v>
      </c>
    </row>
    <row r="101" spans="1:5" ht="15">
      <c r="A101" s="99">
        <v>100</v>
      </c>
      <c r="B101" s="201" t="s">
        <v>367</v>
      </c>
      <c r="C101" s="202" t="s">
        <v>95</v>
      </c>
      <c r="D101" s="203" t="s">
        <v>69</v>
      </c>
      <c r="E101" s="196">
        <f>'II.A'!H21</f>
        <v>150</v>
      </c>
    </row>
    <row r="102" spans="1:5" ht="15" customHeight="1">
      <c r="A102" s="99">
        <v>101</v>
      </c>
      <c r="B102" s="201" t="s">
        <v>96</v>
      </c>
      <c r="C102" s="202" t="s">
        <v>97</v>
      </c>
      <c r="D102" s="203" t="s">
        <v>153</v>
      </c>
      <c r="E102" s="196">
        <f>'IV.A'!H22</f>
        <v>147</v>
      </c>
    </row>
    <row r="103" spans="1:9" ht="15" customHeight="1">
      <c r="A103" s="99">
        <v>102</v>
      </c>
      <c r="B103" s="215" t="s">
        <v>439</v>
      </c>
      <c r="C103" s="216" t="s">
        <v>64</v>
      </c>
      <c r="D103" s="203" t="s">
        <v>69</v>
      </c>
      <c r="E103" s="196">
        <f>'II.A'!H3</f>
        <v>146</v>
      </c>
      <c r="F103" s="45"/>
      <c r="G103" s="46"/>
      <c r="H103" s="51"/>
      <c r="I103" s="45"/>
    </row>
    <row r="104" spans="1:5" ht="15" customHeight="1">
      <c r="A104" s="99">
        <v>103</v>
      </c>
      <c r="B104" s="206" t="s">
        <v>145</v>
      </c>
      <c r="C104" s="207" t="s">
        <v>26</v>
      </c>
      <c r="D104" s="203" t="s">
        <v>200</v>
      </c>
      <c r="E104" s="196">
        <f>'V.A'!H19</f>
        <v>143</v>
      </c>
    </row>
    <row r="105" spans="1:5" ht="15" customHeight="1">
      <c r="A105" s="99">
        <v>104</v>
      </c>
      <c r="B105" s="201" t="s">
        <v>43</v>
      </c>
      <c r="C105" s="202" t="s">
        <v>44</v>
      </c>
      <c r="D105" s="203" t="s">
        <v>353</v>
      </c>
      <c r="E105" s="196">
        <f>'III.B'!H7</f>
        <v>142</v>
      </c>
    </row>
    <row r="106" spans="1:8" ht="15" customHeight="1">
      <c r="A106" s="99">
        <v>105</v>
      </c>
      <c r="B106" s="201" t="s">
        <v>87</v>
      </c>
      <c r="C106" s="202" t="s">
        <v>19</v>
      </c>
      <c r="D106" s="203" t="s">
        <v>348</v>
      </c>
      <c r="E106" s="196">
        <f>'IX.A'!H13</f>
        <v>141</v>
      </c>
      <c r="H106" s="50"/>
    </row>
    <row r="107" spans="1:5" ht="15">
      <c r="A107" s="99">
        <v>106</v>
      </c>
      <c r="B107" s="201" t="s">
        <v>16</v>
      </c>
      <c r="C107" s="202" t="s">
        <v>83</v>
      </c>
      <c r="D107" s="203" t="s">
        <v>153</v>
      </c>
      <c r="E107" s="196">
        <f>'IV.A'!H13</f>
        <v>134</v>
      </c>
    </row>
    <row r="108" spans="1:8" ht="15" customHeight="1">
      <c r="A108" s="99">
        <v>107</v>
      </c>
      <c r="B108" s="201" t="s">
        <v>347</v>
      </c>
      <c r="C108" s="202" t="s">
        <v>66</v>
      </c>
      <c r="D108" s="203" t="s">
        <v>69</v>
      </c>
      <c r="E108" s="196">
        <f>'II.A'!H2</f>
        <v>129</v>
      </c>
      <c r="F108" s="45"/>
      <c r="G108" s="46"/>
      <c r="H108" s="51"/>
    </row>
    <row r="109" spans="1:8" ht="15" customHeight="1">
      <c r="A109" s="99">
        <v>108</v>
      </c>
      <c r="B109" s="201" t="s">
        <v>244</v>
      </c>
      <c r="C109" s="202" t="s">
        <v>135</v>
      </c>
      <c r="D109" s="203" t="s">
        <v>320</v>
      </c>
      <c r="E109" s="196">
        <f>'VII.B'!H25</f>
        <v>122</v>
      </c>
      <c r="F109" s="45"/>
      <c r="G109" s="46"/>
      <c r="H109" s="51"/>
    </row>
    <row r="110" spans="1:5" ht="15" customHeight="1">
      <c r="A110" s="99"/>
      <c r="B110" s="206" t="s">
        <v>327</v>
      </c>
      <c r="C110" s="207" t="s">
        <v>309</v>
      </c>
      <c r="D110" s="203" t="s">
        <v>349</v>
      </c>
      <c r="E110" s="196">
        <f>'IX.B'!H7</f>
        <v>122</v>
      </c>
    </row>
    <row r="111" spans="1:8" ht="15" customHeight="1">
      <c r="A111" s="99"/>
      <c r="B111" s="206" t="s">
        <v>336</v>
      </c>
      <c r="C111" s="207" t="s">
        <v>150</v>
      </c>
      <c r="D111" s="203" t="s">
        <v>349</v>
      </c>
      <c r="E111" s="196">
        <f>'IX.B'!H15</f>
        <v>122</v>
      </c>
      <c r="F111" s="45"/>
      <c r="G111" s="48"/>
      <c r="H111" s="51"/>
    </row>
    <row r="112" spans="1:8" ht="15" customHeight="1">
      <c r="A112" s="99">
        <v>111</v>
      </c>
      <c r="B112" s="206" t="s">
        <v>331</v>
      </c>
      <c r="C112" s="207" t="s">
        <v>31</v>
      </c>
      <c r="D112" s="203" t="s">
        <v>349</v>
      </c>
      <c r="E112" s="196">
        <f>'IX.B'!H11</f>
        <v>121</v>
      </c>
      <c r="F112" s="45"/>
      <c r="G112" s="46"/>
      <c r="H112" s="51"/>
    </row>
    <row r="113" spans="1:5" ht="15" customHeight="1">
      <c r="A113" s="99">
        <v>112</v>
      </c>
      <c r="B113" s="206" t="s">
        <v>332</v>
      </c>
      <c r="C113" s="207" t="s">
        <v>333</v>
      </c>
      <c r="D113" s="203" t="s">
        <v>349</v>
      </c>
      <c r="E113" s="196">
        <f>'IX.B'!H13</f>
        <v>116</v>
      </c>
    </row>
    <row r="114" spans="1:5" ht="15">
      <c r="A114" s="99">
        <v>113</v>
      </c>
      <c r="B114" s="201" t="s">
        <v>182</v>
      </c>
      <c r="C114" s="202" t="s">
        <v>183</v>
      </c>
      <c r="D114" s="203" t="s">
        <v>279</v>
      </c>
      <c r="E114" s="196">
        <f>'VI.B'!H7</f>
        <v>115</v>
      </c>
    </row>
    <row r="115" spans="1:8" ht="15">
      <c r="A115" s="99">
        <v>114</v>
      </c>
      <c r="B115" s="201" t="s">
        <v>230</v>
      </c>
      <c r="C115" s="202" t="s">
        <v>137</v>
      </c>
      <c r="D115" s="203" t="s">
        <v>320</v>
      </c>
      <c r="E115" s="196">
        <f>'VII.B'!H10</f>
        <v>112</v>
      </c>
      <c r="H115" s="50"/>
    </row>
    <row r="116" spans="1:5" ht="15" customHeight="1">
      <c r="A116" s="99">
        <v>115</v>
      </c>
      <c r="B116" s="201" t="s">
        <v>355</v>
      </c>
      <c r="C116" s="202" t="s">
        <v>15</v>
      </c>
      <c r="D116" s="203" t="s">
        <v>69</v>
      </c>
      <c r="E116" s="196">
        <f>'II.A'!H6</f>
        <v>110</v>
      </c>
    </row>
    <row r="117" spans="1:8" ht="15" customHeight="1">
      <c r="A117" s="99"/>
      <c r="B117" s="201" t="s">
        <v>49</v>
      </c>
      <c r="C117" s="202" t="s">
        <v>50</v>
      </c>
      <c r="D117" s="203" t="s">
        <v>353</v>
      </c>
      <c r="E117" s="196">
        <f>'III.B'!H10</f>
        <v>110</v>
      </c>
      <c r="F117" s="45"/>
      <c r="G117" s="46"/>
      <c r="H117" s="51"/>
    </row>
    <row r="118" spans="1:8" ht="15" customHeight="1">
      <c r="A118" s="99">
        <v>117</v>
      </c>
      <c r="B118" s="201" t="s">
        <v>374</v>
      </c>
      <c r="C118" s="202" t="s">
        <v>48</v>
      </c>
      <c r="D118" s="203" t="s">
        <v>101</v>
      </c>
      <c r="E118" s="196">
        <f>'II.B'!H5</f>
        <v>105</v>
      </c>
      <c r="F118" s="45"/>
      <c r="G118" s="46"/>
      <c r="H118" s="51"/>
    </row>
    <row r="119" spans="1:8" ht="15" customHeight="1">
      <c r="A119" s="99"/>
      <c r="B119" s="201" t="s">
        <v>49</v>
      </c>
      <c r="C119" s="202" t="s">
        <v>15</v>
      </c>
      <c r="D119" s="203" t="s">
        <v>320</v>
      </c>
      <c r="E119" s="196">
        <f>'VII.B'!H17</f>
        <v>105</v>
      </c>
      <c r="F119" s="45"/>
      <c r="G119" s="46"/>
      <c r="H119" s="51"/>
    </row>
    <row r="120" spans="1:8" ht="15" customHeight="1">
      <c r="A120" s="99">
        <v>119</v>
      </c>
      <c r="B120" s="206" t="s">
        <v>82</v>
      </c>
      <c r="C120" s="207" t="s">
        <v>41</v>
      </c>
      <c r="D120" s="203" t="s">
        <v>402</v>
      </c>
      <c r="E120" s="196">
        <f>'IV.B'!H11</f>
        <v>104</v>
      </c>
      <c r="F120" s="45"/>
      <c r="G120" s="46"/>
      <c r="H120" s="51"/>
    </row>
    <row r="121" spans="1:8" ht="15" customHeight="1">
      <c r="A121" s="99"/>
      <c r="B121" s="206" t="s">
        <v>341</v>
      </c>
      <c r="C121" s="207" t="s">
        <v>17</v>
      </c>
      <c r="D121" s="203" t="s">
        <v>349</v>
      </c>
      <c r="E121" s="196">
        <f>'IX.B'!H19</f>
        <v>104</v>
      </c>
      <c r="F121" s="45"/>
      <c r="G121" s="46"/>
      <c r="H121" s="51"/>
    </row>
    <row r="122" spans="1:9" ht="15" customHeight="1">
      <c r="A122" s="99">
        <v>121</v>
      </c>
      <c r="B122" s="226" t="s">
        <v>383</v>
      </c>
      <c r="C122" s="227" t="s">
        <v>48</v>
      </c>
      <c r="D122" s="203" t="s">
        <v>101</v>
      </c>
      <c r="E122" s="196">
        <f>'II.B'!H8</f>
        <v>100</v>
      </c>
      <c r="F122" s="45"/>
      <c r="G122" s="46"/>
      <c r="H122" s="51"/>
      <c r="I122" s="45"/>
    </row>
    <row r="123" spans="1:9" ht="15" customHeight="1">
      <c r="A123" s="99"/>
      <c r="B123" s="201" t="s">
        <v>203</v>
      </c>
      <c r="C123" s="202" t="s">
        <v>135</v>
      </c>
      <c r="D123" s="203" t="s">
        <v>299</v>
      </c>
      <c r="E123" s="196">
        <f>'VII.A'!H4</f>
        <v>100</v>
      </c>
      <c r="F123" s="45"/>
      <c r="G123" s="46"/>
      <c r="H123" s="51"/>
      <c r="I123" s="45"/>
    </row>
    <row r="124" spans="1:8" ht="15">
      <c r="A124" s="99">
        <v>123</v>
      </c>
      <c r="B124" s="215" t="s">
        <v>303</v>
      </c>
      <c r="C124" s="216" t="s">
        <v>304</v>
      </c>
      <c r="D124" s="203" t="s">
        <v>348</v>
      </c>
      <c r="E124" s="196">
        <f>'IX.A'!H7</f>
        <v>98</v>
      </c>
      <c r="F124" s="45"/>
      <c r="G124" s="45"/>
      <c r="H124" s="51"/>
    </row>
    <row r="125" spans="1:8" ht="15" customHeight="1">
      <c r="A125" s="99">
        <v>124</v>
      </c>
      <c r="B125" s="201" t="s">
        <v>194</v>
      </c>
      <c r="C125" s="202" t="s">
        <v>53</v>
      </c>
      <c r="D125" s="203" t="s">
        <v>279</v>
      </c>
      <c r="E125" s="196">
        <f>'VI.B'!H22</f>
        <v>97</v>
      </c>
      <c r="F125" s="45"/>
      <c r="G125" s="48"/>
      <c r="H125" s="51"/>
    </row>
    <row r="126" spans="1:5" ht="15" customHeight="1">
      <c r="A126" s="99">
        <v>125</v>
      </c>
      <c r="B126" s="201" t="s">
        <v>317</v>
      </c>
      <c r="C126" s="202" t="s">
        <v>70</v>
      </c>
      <c r="D126" s="203" t="s">
        <v>348</v>
      </c>
      <c r="E126" s="196">
        <f>'IX.A'!H22</f>
        <v>94</v>
      </c>
    </row>
    <row r="127" spans="1:8" ht="15" customHeight="1">
      <c r="A127" s="99">
        <v>126</v>
      </c>
      <c r="B127" s="206" t="s">
        <v>271</v>
      </c>
      <c r="C127" s="207" t="s">
        <v>17</v>
      </c>
      <c r="D127" s="203" t="s">
        <v>345</v>
      </c>
      <c r="E127" s="196">
        <f>'VIII.A'!H18</f>
        <v>92</v>
      </c>
      <c r="F127" s="45"/>
      <c r="G127" s="46"/>
      <c r="H127" s="51"/>
    </row>
    <row r="128" spans="1:8" ht="15" customHeight="1">
      <c r="A128" s="99">
        <v>127</v>
      </c>
      <c r="B128" s="204" t="s">
        <v>405</v>
      </c>
      <c r="C128" s="205" t="s">
        <v>23</v>
      </c>
      <c r="D128" s="203" t="s">
        <v>0</v>
      </c>
      <c r="E128" s="224">
        <f>'I.A'!H4</f>
        <v>91</v>
      </c>
      <c r="F128" s="45"/>
      <c r="G128" s="46"/>
      <c r="H128" s="51"/>
    </row>
    <row r="129" spans="1:8" ht="15">
      <c r="A129" s="99">
        <v>128</v>
      </c>
      <c r="B129" s="206" t="s">
        <v>111</v>
      </c>
      <c r="C129" s="207" t="s">
        <v>88</v>
      </c>
      <c r="D129" s="203" t="s">
        <v>402</v>
      </c>
      <c r="E129" s="196">
        <f>'IV.B'!H12</f>
        <v>90</v>
      </c>
      <c r="F129" s="45"/>
      <c r="G129" s="46"/>
      <c r="H129" s="51"/>
    </row>
    <row r="130" spans="1:9" ht="15" customHeight="1">
      <c r="A130" s="99">
        <v>129</v>
      </c>
      <c r="B130" s="206" t="s">
        <v>323</v>
      </c>
      <c r="C130" s="207" t="s">
        <v>95</v>
      </c>
      <c r="D130" s="203" t="s">
        <v>349</v>
      </c>
      <c r="E130" s="196">
        <f>'IX.B'!H3</f>
        <v>88</v>
      </c>
      <c r="F130" s="45"/>
      <c r="G130" s="46"/>
      <c r="H130" s="51"/>
      <c r="I130" s="45"/>
    </row>
    <row r="131" spans="1:5" ht="15" customHeight="1">
      <c r="A131" s="99">
        <v>130</v>
      </c>
      <c r="B131" s="206" t="s">
        <v>175</v>
      </c>
      <c r="C131" s="207" t="s">
        <v>97</v>
      </c>
      <c r="D131" s="203" t="s">
        <v>248</v>
      </c>
      <c r="E131" s="196">
        <f>'VI.A'!H14</f>
        <v>87</v>
      </c>
    </row>
    <row r="132" spans="1:9" ht="15" customHeight="1">
      <c r="A132" s="99">
        <v>131</v>
      </c>
      <c r="B132" s="201" t="s">
        <v>205</v>
      </c>
      <c r="C132" s="202" t="s">
        <v>50</v>
      </c>
      <c r="D132" s="203" t="s">
        <v>320</v>
      </c>
      <c r="E132" s="196">
        <f>'VII.B'!H7</f>
        <v>86</v>
      </c>
      <c r="F132" s="45"/>
      <c r="G132" s="46"/>
      <c r="H132" s="51"/>
      <c r="I132" s="45"/>
    </row>
    <row r="133" spans="1:8" ht="15" customHeight="1">
      <c r="A133" s="99">
        <v>132</v>
      </c>
      <c r="B133" s="206" t="s">
        <v>295</v>
      </c>
      <c r="C133" s="207" t="s">
        <v>95</v>
      </c>
      <c r="D133" s="203" t="s">
        <v>346</v>
      </c>
      <c r="E133" s="196">
        <f>'VIII.B'!H20</f>
        <v>85</v>
      </c>
      <c r="F133" s="45"/>
      <c r="G133" s="46"/>
      <c r="H133" s="51"/>
    </row>
    <row r="134" spans="1:9" ht="15" customHeight="1">
      <c r="A134" s="99">
        <v>133</v>
      </c>
      <c r="B134" s="201" t="s">
        <v>382</v>
      </c>
      <c r="C134" s="202" t="s">
        <v>50</v>
      </c>
      <c r="D134" s="203" t="s">
        <v>101</v>
      </c>
      <c r="E134" s="196">
        <f>'II.B'!H18</f>
        <v>84</v>
      </c>
      <c r="F134" s="45"/>
      <c r="G134" s="46"/>
      <c r="H134" s="51"/>
      <c r="I134" s="45"/>
    </row>
    <row r="135" spans="1:5" ht="15">
      <c r="A135" s="99"/>
      <c r="B135" s="201" t="s">
        <v>40</v>
      </c>
      <c r="C135" s="202" t="s">
        <v>41</v>
      </c>
      <c r="D135" s="203" t="s">
        <v>353</v>
      </c>
      <c r="E135" s="196">
        <f>'III.B'!H5</f>
        <v>84</v>
      </c>
    </row>
    <row r="136" spans="1:8" ht="15" customHeight="1">
      <c r="A136" s="99"/>
      <c r="B136" s="201" t="s">
        <v>156</v>
      </c>
      <c r="C136" s="202" t="s">
        <v>157</v>
      </c>
      <c r="D136" s="203" t="s">
        <v>279</v>
      </c>
      <c r="E136" s="196">
        <f>'VI.B'!H4</f>
        <v>84</v>
      </c>
      <c r="F136" s="45"/>
      <c r="G136" s="46"/>
      <c r="H136" s="51"/>
    </row>
    <row r="137" spans="1:8" ht="15" customHeight="1">
      <c r="A137" s="99"/>
      <c r="B137" s="206" t="s">
        <v>291</v>
      </c>
      <c r="C137" s="207" t="s">
        <v>97</v>
      </c>
      <c r="D137" s="203" t="s">
        <v>346</v>
      </c>
      <c r="E137" s="196">
        <f>'VIII.B'!H12</f>
        <v>84</v>
      </c>
      <c r="F137" s="45"/>
      <c r="G137" s="48"/>
      <c r="H137" s="51"/>
    </row>
    <row r="138" spans="1:5" ht="15" customHeight="1">
      <c r="A138" s="99">
        <v>137</v>
      </c>
      <c r="B138" s="206" t="s">
        <v>266</v>
      </c>
      <c r="C138" s="207" t="s">
        <v>9</v>
      </c>
      <c r="D138" s="203" t="s">
        <v>345</v>
      </c>
      <c r="E138" s="196">
        <f>'VIII.A'!H14</f>
        <v>82</v>
      </c>
    </row>
    <row r="139" spans="1:8" ht="15" customHeight="1">
      <c r="A139" s="99">
        <v>138</v>
      </c>
      <c r="B139" s="206" t="s">
        <v>181</v>
      </c>
      <c r="C139" s="207" t="s">
        <v>31</v>
      </c>
      <c r="D139" s="203" t="s">
        <v>248</v>
      </c>
      <c r="E139" s="196">
        <f>'VI.A'!H2</f>
        <v>81</v>
      </c>
      <c r="F139" s="45"/>
      <c r="G139" s="45"/>
      <c r="H139" s="51"/>
    </row>
    <row r="140" spans="1:5" ht="15" customHeight="1">
      <c r="A140" s="99">
        <v>139</v>
      </c>
      <c r="B140" s="201" t="s">
        <v>134</v>
      </c>
      <c r="C140" s="202" t="s">
        <v>95</v>
      </c>
      <c r="D140" s="203" t="s">
        <v>279</v>
      </c>
      <c r="E140" s="196">
        <f>'VI.B'!H12</f>
        <v>80</v>
      </c>
    </row>
    <row r="141" spans="1:8" ht="15" customHeight="1">
      <c r="A141" s="99">
        <v>140</v>
      </c>
      <c r="B141" s="206" t="s">
        <v>173</v>
      </c>
      <c r="C141" s="207" t="s">
        <v>174</v>
      </c>
      <c r="D141" s="203" t="s">
        <v>248</v>
      </c>
      <c r="E141" s="196">
        <f>'VI.A'!H13</f>
        <v>79</v>
      </c>
      <c r="F141" s="45"/>
      <c r="G141" s="46"/>
      <c r="H141" s="51"/>
    </row>
    <row r="142" spans="1:9" ht="15">
      <c r="A142" s="99"/>
      <c r="B142" s="201" t="s">
        <v>204</v>
      </c>
      <c r="C142" s="202" t="s">
        <v>110</v>
      </c>
      <c r="D142" s="203" t="s">
        <v>299</v>
      </c>
      <c r="E142" s="196">
        <f>'VII.A'!H5</f>
        <v>79</v>
      </c>
      <c r="F142" s="45"/>
      <c r="G142" s="46"/>
      <c r="H142" s="51"/>
      <c r="I142" s="45"/>
    </row>
    <row r="143" spans="1:8" ht="15">
      <c r="A143" s="99">
        <v>142</v>
      </c>
      <c r="B143" s="204" t="s">
        <v>415</v>
      </c>
      <c r="C143" s="205" t="s">
        <v>416</v>
      </c>
      <c r="D143" s="203" t="s">
        <v>0</v>
      </c>
      <c r="E143" s="224">
        <f>'I.A'!H15</f>
        <v>78</v>
      </c>
      <c r="F143" s="45"/>
      <c r="G143" s="46"/>
      <c r="H143" s="51"/>
    </row>
    <row r="144" spans="1:5" ht="15" customHeight="1">
      <c r="A144" s="99"/>
      <c r="B144" s="201" t="s">
        <v>22</v>
      </c>
      <c r="C144" s="202" t="s">
        <v>23</v>
      </c>
      <c r="D144" s="203" t="s">
        <v>124</v>
      </c>
      <c r="E144" s="225">
        <f>'III.A'!H12</f>
        <v>78</v>
      </c>
    </row>
    <row r="145" spans="1:5" ht="15" customHeight="1">
      <c r="A145" s="99"/>
      <c r="B145" s="201" t="s">
        <v>51</v>
      </c>
      <c r="C145" s="202" t="s">
        <v>52</v>
      </c>
      <c r="D145" s="203" t="s">
        <v>353</v>
      </c>
      <c r="E145" s="196">
        <f>'III.B'!H11</f>
        <v>78</v>
      </c>
    </row>
    <row r="146" spans="1:9" ht="15" customHeight="1">
      <c r="A146" s="99"/>
      <c r="B146" s="206" t="s">
        <v>283</v>
      </c>
      <c r="C146" s="207" t="s">
        <v>15</v>
      </c>
      <c r="D146" s="203" t="s">
        <v>346</v>
      </c>
      <c r="E146" s="196">
        <f>'VIII.B'!H6</f>
        <v>78</v>
      </c>
      <c r="F146" s="45"/>
      <c r="G146" s="46"/>
      <c r="H146" s="51"/>
      <c r="I146" s="45"/>
    </row>
    <row r="147" spans="1:8" ht="15">
      <c r="A147" s="99">
        <v>146</v>
      </c>
      <c r="B147" s="198" t="s">
        <v>406</v>
      </c>
      <c r="C147" s="199" t="s">
        <v>388</v>
      </c>
      <c r="D147" s="203" t="s">
        <v>0</v>
      </c>
      <c r="E147" s="224">
        <f>'I.A'!H5</f>
        <v>77</v>
      </c>
      <c r="F147" s="45"/>
      <c r="G147" s="46"/>
      <c r="H147" s="51"/>
    </row>
    <row r="148" spans="1:9" ht="15" customHeight="1">
      <c r="A148" s="99"/>
      <c r="B148" s="204" t="s">
        <v>453</v>
      </c>
      <c r="C148" s="205" t="s">
        <v>160</v>
      </c>
      <c r="D148" s="203" t="s">
        <v>0</v>
      </c>
      <c r="E148" s="224">
        <f>'I.A'!H7</f>
        <v>77</v>
      </c>
      <c r="F148" s="45"/>
      <c r="G148" s="46"/>
      <c r="H148" s="51"/>
      <c r="I148" s="45"/>
    </row>
    <row r="149" spans="1:8" ht="15">
      <c r="A149" s="99"/>
      <c r="B149" s="201" t="s">
        <v>94</v>
      </c>
      <c r="C149" s="202" t="s">
        <v>23</v>
      </c>
      <c r="D149" s="203" t="s">
        <v>153</v>
      </c>
      <c r="E149" s="196">
        <f>'IV.A'!H21</f>
        <v>77</v>
      </c>
      <c r="F149" s="45"/>
      <c r="G149" s="48"/>
      <c r="H149" s="51"/>
    </row>
    <row r="150" spans="1:9" ht="15">
      <c r="A150" s="99">
        <v>149</v>
      </c>
      <c r="B150" s="201" t="s">
        <v>226</v>
      </c>
      <c r="C150" s="202" t="s">
        <v>41</v>
      </c>
      <c r="D150" s="203" t="s">
        <v>101</v>
      </c>
      <c r="E150" s="196">
        <f>'II.B'!H3</f>
        <v>76</v>
      </c>
      <c r="F150" s="45"/>
      <c r="G150" s="46"/>
      <c r="H150" s="51"/>
      <c r="I150" s="45"/>
    </row>
    <row r="151" spans="1:5" ht="15" customHeight="1">
      <c r="A151" s="99"/>
      <c r="B151" s="201" t="s">
        <v>201</v>
      </c>
      <c r="C151" s="202" t="s">
        <v>41</v>
      </c>
      <c r="D151" s="203" t="s">
        <v>299</v>
      </c>
      <c r="E151" s="196">
        <f>'VII.A'!H2</f>
        <v>76</v>
      </c>
    </row>
    <row r="152" spans="1:9" ht="15" customHeight="1">
      <c r="A152" s="99"/>
      <c r="B152" s="201" t="s">
        <v>226</v>
      </c>
      <c r="C152" s="202" t="s">
        <v>31</v>
      </c>
      <c r="D152" s="203" t="s">
        <v>320</v>
      </c>
      <c r="E152" s="196">
        <f>'VII.B'!H5</f>
        <v>76</v>
      </c>
      <c r="F152" s="45"/>
      <c r="G152" s="46"/>
      <c r="H152" s="51"/>
      <c r="I152" s="45"/>
    </row>
    <row r="153" spans="1:8" ht="15" customHeight="1">
      <c r="A153" s="99">
        <v>152</v>
      </c>
      <c r="B153" s="204" t="s">
        <v>430</v>
      </c>
      <c r="C153" s="205" t="s">
        <v>225</v>
      </c>
      <c r="D153" s="203" t="s">
        <v>37</v>
      </c>
      <c r="E153" s="225">
        <f>'I.B'!H10</f>
        <v>75</v>
      </c>
      <c r="F153" s="45"/>
      <c r="G153" s="46"/>
      <c r="H153" s="51"/>
    </row>
    <row r="154" spans="1:8" ht="15">
      <c r="A154" s="99"/>
      <c r="B154" s="201" t="s">
        <v>359</v>
      </c>
      <c r="C154" s="202" t="s">
        <v>55</v>
      </c>
      <c r="D154" s="203" t="s">
        <v>69</v>
      </c>
      <c r="E154" s="196">
        <f>'II.A'!H9</f>
        <v>75</v>
      </c>
      <c r="F154" s="45"/>
      <c r="G154" s="46"/>
      <c r="H154" s="51"/>
    </row>
    <row r="155" spans="1:8" ht="15">
      <c r="A155" s="99"/>
      <c r="B155" s="201" t="s">
        <v>73</v>
      </c>
      <c r="C155" s="202" t="s">
        <v>17</v>
      </c>
      <c r="D155" s="203" t="s">
        <v>153</v>
      </c>
      <c r="E155" s="196">
        <f>'IV.A'!H5</f>
        <v>75</v>
      </c>
      <c r="F155" s="45"/>
      <c r="G155" s="46"/>
      <c r="H155" s="51"/>
    </row>
    <row r="156" spans="1:9" ht="15">
      <c r="A156" s="99"/>
      <c r="B156" s="201" t="s">
        <v>300</v>
      </c>
      <c r="C156" s="202" t="s">
        <v>97</v>
      </c>
      <c r="D156" s="203" t="s">
        <v>348</v>
      </c>
      <c r="E156" s="196">
        <f>'IX.A'!H3</f>
        <v>75</v>
      </c>
      <c r="F156" s="45"/>
      <c r="G156" s="46"/>
      <c r="H156" s="51"/>
      <c r="I156" s="45"/>
    </row>
    <row r="157" spans="1:9" ht="15">
      <c r="A157" s="99">
        <v>156</v>
      </c>
      <c r="B157" s="204" t="s">
        <v>426</v>
      </c>
      <c r="C157" s="205" t="s">
        <v>212</v>
      </c>
      <c r="D157" s="203" t="s">
        <v>37</v>
      </c>
      <c r="E157" s="225">
        <f>'I.B'!H5</f>
        <v>74</v>
      </c>
      <c r="F157" s="45"/>
      <c r="G157" s="46"/>
      <c r="H157" s="51"/>
      <c r="I157" s="45"/>
    </row>
    <row r="158" spans="1:5" ht="15" customHeight="1">
      <c r="A158" s="99"/>
      <c r="B158" s="201" t="s">
        <v>45</v>
      </c>
      <c r="C158" s="202" t="s">
        <v>46</v>
      </c>
      <c r="D158" s="203" t="s">
        <v>353</v>
      </c>
      <c r="E158" s="196">
        <f>'III.B'!H8</f>
        <v>74</v>
      </c>
    </row>
    <row r="159" spans="1:8" ht="15" customHeight="1">
      <c r="A159" s="99"/>
      <c r="B159" s="201" t="s">
        <v>300</v>
      </c>
      <c r="C159" s="202" t="s">
        <v>55</v>
      </c>
      <c r="D159" s="203" t="s">
        <v>348</v>
      </c>
      <c r="E159" s="196">
        <f>'IX.A'!H2</f>
        <v>74</v>
      </c>
      <c r="F159" s="45"/>
      <c r="G159" s="46"/>
      <c r="H159" s="51"/>
    </row>
    <row r="160" spans="1:8" ht="15" customHeight="1">
      <c r="A160" s="99">
        <v>159</v>
      </c>
      <c r="B160" s="206" t="s">
        <v>281</v>
      </c>
      <c r="C160" s="207" t="s">
        <v>31</v>
      </c>
      <c r="D160" s="203" t="s">
        <v>346</v>
      </c>
      <c r="E160" s="196">
        <f>'VIII.B'!H3</f>
        <v>73</v>
      </c>
      <c r="F160" s="45"/>
      <c r="G160" s="46"/>
      <c r="H160" s="51"/>
    </row>
    <row r="161" spans="1:9" ht="15" customHeight="1">
      <c r="A161" s="99">
        <v>160</v>
      </c>
      <c r="B161" s="201" t="s">
        <v>379</v>
      </c>
      <c r="C161" s="202" t="s">
        <v>70</v>
      </c>
      <c r="D161" s="203" t="s">
        <v>101</v>
      </c>
      <c r="E161" s="196">
        <f>'II.B'!H13</f>
        <v>72</v>
      </c>
      <c r="F161" s="45"/>
      <c r="G161" s="46"/>
      <c r="H161" s="51"/>
      <c r="I161" s="45"/>
    </row>
    <row r="162" spans="1:8" ht="15">
      <c r="A162" s="99">
        <v>161</v>
      </c>
      <c r="B162" s="206" t="s">
        <v>257</v>
      </c>
      <c r="C162" s="207" t="s">
        <v>258</v>
      </c>
      <c r="D162" s="203" t="s">
        <v>345</v>
      </c>
      <c r="E162" s="196">
        <f>'VIII.A'!H9</f>
        <v>72</v>
      </c>
      <c r="H162" s="50"/>
    </row>
    <row r="163" spans="1:5" ht="15" customHeight="1">
      <c r="A163" s="99">
        <v>162</v>
      </c>
      <c r="B163" s="206" t="s">
        <v>294</v>
      </c>
      <c r="C163" s="207" t="s">
        <v>41</v>
      </c>
      <c r="D163" s="203" t="s">
        <v>346</v>
      </c>
      <c r="E163" s="196">
        <f>'VIII.B'!H19</f>
        <v>71</v>
      </c>
    </row>
    <row r="164" spans="1:8" ht="15" customHeight="1">
      <c r="A164" s="99">
        <v>163</v>
      </c>
      <c r="B164" s="201" t="s">
        <v>189</v>
      </c>
      <c r="C164" s="202" t="s">
        <v>11</v>
      </c>
      <c r="D164" s="203" t="s">
        <v>69</v>
      </c>
      <c r="E164" s="196">
        <f>'II.A'!H16</f>
        <v>70</v>
      </c>
      <c r="F164" s="45"/>
      <c r="G164" s="46"/>
      <c r="H164" s="51"/>
    </row>
    <row r="165" spans="1:5" ht="15" customHeight="1">
      <c r="A165" s="99"/>
      <c r="B165" s="201" t="s">
        <v>364</v>
      </c>
      <c r="C165" s="202" t="s">
        <v>41</v>
      </c>
      <c r="D165" s="203" t="s">
        <v>69</v>
      </c>
      <c r="E165" s="196">
        <f>'II.A'!H18</f>
        <v>70</v>
      </c>
    </row>
    <row r="166" spans="1:8" ht="15">
      <c r="A166" s="99"/>
      <c r="B166" s="201" t="s">
        <v>401</v>
      </c>
      <c r="C166" s="202" t="s">
        <v>31</v>
      </c>
      <c r="D166" s="203" t="s">
        <v>279</v>
      </c>
      <c r="E166" s="196">
        <f>'VI.B'!H20</f>
        <v>70</v>
      </c>
      <c r="F166" s="45"/>
      <c r="G166" s="46"/>
      <c r="H166" s="51"/>
    </row>
    <row r="167" spans="1:8" ht="15" customHeight="1">
      <c r="A167" s="99"/>
      <c r="B167" s="206" t="s">
        <v>272</v>
      </c>
      <c r="C167" s="207" t="s">
        <v>270</v>
      </c>
      <c r="D167" s="203" t="s">
        <v>345</v>
      </c>
      <c r="E167" s="196">
        <f>'VIII.A'!H19</f>
        <v>70</v>
      </c>
      <c r="F167" s="45"/>
      <c r="G167" s="46"/>
      <c r="H167" s="51"/>
    </row>
    <row r="168" spans="1:8" ht="15" customHeight="1">
      <c r="A168" s="99">
        <v>167</v>
      </c>
      <c r="B168" s="201" t="s">
        <v>235</v>
      </c>
      <c r="C168" s="202" t="s">
        <v>48</v>
      </c>
      <c r="D168" s="203" t="s">
        <v>320</v>
      </c>
      <c r="E168" s="196">
        <f>'VII.B'!H15</f>
        <v>69.5</v>
      </c>
      <c r="H168" s="50"/>
    </row>
    <row r="169" spans="1:5" ht="15" customHeight="1">
      <c r="A169" s="99">
        <v>168</v>
      </c>
      <c r="B169" s="198" t="s">
        <v>425</v>
      </c>
      <c r="C169" s="199" t="s">
        <v>9</v>
      </c>
      <c r="D169" s="203" t="s">
        <v>37</v>
      </c>
      <c r="E169" s="225">
        <f>'I.B'!H4</f>
        <v>69</v>
      </c>
    </row>
    <row r="170" spans="1:8" ht="15" customHeight="1">
      <c r="A170" s="99"/>
      <c r="B170" s="201" t="s">
        <v>10</v>
      </c>
      <c r="C170" s="202" t="s">
        <v>11</v>
      </c>
      <c r="D170" s="203" t="s">
        <v>124</v>
      </c>
      <c r="E170" s="225">
        <f>'III.A'!H6</f>
        <v>69</v>
      </c>
      <c r="F170" s="45"/>
      <c r="G170" s="46"/>
      <c r="H170" s="51"/>
    </row>
    <row r="171" spans="1:8" ht="15" customHeight="1">
      <c r="A171" s="99"/>
      <c r="B171" s="206" t="s">
        <v>396</v>
      </c>
      <c r="C171" s="207" t="s">
        <v>66</v>
      </c>
      <c r="D171" s="203" t="s">
        <v>345</v>
      </c>
      <c r="E171" s="196">
        <f>'VIII.A'!H24</f>
        <v>69</v>
      </c>
      <c r="F171" s="45"/>
      <c r="G171" s="46"/>
      <c r="H171" s="51"/>
    </row>
    <row r="172" spans="1:8" ht="15">
      <c r="A172" s="99">
        <v>171</v>
      </c>
      <c r="B172" s="201" t="s">
        <v>16</v>
      </c>
      <c r="C172" s="202" t="s">
        <v>17</v>
      </c>
      <c r="D172" s="203" t="s">
        <v>124</v>
      </c>
      <c r="E172" s="225">
        <f>'III.A'!H9</f>
        <v>68</v>
      </c>
      <c r="F172" s="45"/>
      <c r="G172" s="46"/>
      <c r="H172" s="51"/>
    </row>
    <row r="173" spans="1:5" ht="15" customHeight="1">
      <c r="A173" s="99"/>
      <c r="B173" s="206" t="s">
        <v>297</v>
      </c>
      <c r="C173" s="207" t="s">
        <v>41</v>
      </c>
      <c r="D173" s="203" t="s">
        <v>346</v>
      </c>
      <c r="E173" s="196">
        <f>'VIII.B'!H22</f>
        <v>68</v>
      </c>
    </row>
    <row r="174" spans="1:5" ht="15">
      <c r="A174" s="99">
        <v>173</v>
      </c>
      <c r="B174" s="201" t="s">
        <v>164</v>
      </c>
      <c r="C174" s="202" t="s">
        <v>165</v>
      </c>
      <c r="D174" s="203" t="s">
        <v>279</v>
      </c>
      <c r="E174" s="196">
        <f>'VI.B'!H11</f>
        <v>67</v>
      </c>
    </row>
    <row r="175" spans="1:8" ht="15" customHeight="1">
      <c r="A175" s="99">
        <v>174</v>
      </c>
      <c r="B175" s="206" t="s">
        <v>122</v>
      </c>
      <c r="C175" s="207" t="s">
        <v>275</v>
      </c>
      <c r="D175" s="203" t="s">
        <v>345</v>
      </c>
      <c r="E175" s="196">
        <f>'VIII.A'!H23</f>
        <v>66</v>
      </c>
      <c r="F175" s="45"/>
      <c r="G175" s="46"/>
      <c r="H175" s="51"/>
    </row>
    <row r="176" spans="1:8" ht="15" customHeight="1">
      <c r="A176" s="99">
        <v>175</v>
      </c>
      <c r="B176" s="201" t="s">
        <v>25</v>
      </c>
      <c r="C176" s="202" t="s">
        <v>26</v>
      </c>
      <c r="D176" s="203" t="s">
        <v>124</v>
      </c>
      <c r="E176" s="225">
        <f>'III.A'!H15</f>
        <v>65</v>
      </c>
      <c r="F176" s="45"/>
      <c r="G176" s="45"/>
      <c r="H176" s="51"/>
    </row>
    <row r="177" spans="1:5" ht="15" customHeight="1">
      <c r="A177" s="99">
        <v>176</v>
      </c>
      <c r="B177" s="201" t="s">
        <v>380</v>
      </c>
      <c r="C177" s="202" t="s">
        <v>35</v>
      </c>
      <c r="D177" s="203" t="s">
        <v>101</v>
      </c>
      <c r="E177" s="196">
        <f>'II.B'!H16</f>
        <v>64</v>
      </c>
    </row>
    <row r="178" spans="1:5" ht="15" customHeight="1">
      <c r="A178" s="99"/>
      <c r="B178" s="206" t="s">
        <v>104</v>
      </c>
      <c r="C178" s="207" t="s">
        <v>4</v>
      </c>
      <c r="D178" s="203" t="s">
        <v>402</v>
      </c>
      <c r="E178" s="196">
        <f>'IV.B'!H4</f>
        <v>64</v>
      </c>
    </row>
    <row r="179" spans="1:9" ht="15" customHeight="1">
      <c r="A179" s="99">
        <v>178</v>
      </c>
      <c r="B179" s="206" t="s">
        <v>129</v>
      </c>
      <c r="C179" s="207" t="s">
        <v>95</v>
      </c>
      <c r="D179" s="203" t="s">
        <v>200</v>
      </c>
      <c r="E179" s="196">
        <f>'V.A'!H6</f>
        <v>63</v>
      </c>
      <c r="F179" s="45"/>
      <c r="G179" s="46"/>
      <c r="H179" s="51"/>
      <c r="I179" s="45"/>
    </row>
    <row r="180" spans="1:8" ht="15" customHeight="1">
      <c r="A180" s="99">
        <v>179</v>
      </c>
      <c r="B180" s="201" t="s">
        <v>441</v>
      </c>
      <c r="C180" s="202" t="s">
        <v>31</v>
      </c>
      <c r="D180" s="203" t="s">
        <v>101</v>
      </c>
      <c r="E180" s="196">
        <f>'II.B'!H10</f>
        <v>62</v>
      </c>
      <c r="F180" s="45"/>
      <c r="G180" s="46"/>
      <c r="H180" s="51"/>
    </row>
    <row r="181" spans="1:8" ht="15">
      <c r="A181" s="99">
        <v>180</v>
      </c>
      <c r="B181" s="206" t="s">
        <v>102</v>
      </c>
      <c r="C181" s="207" t="s">
        <v>66</v>
      </c>
      <c r="D181" s="203" t="s">
        <v>402</v>
      </c>
      <c r="E181" s="196">
        <f>'IV.B'!H2</f>
        <v>61</v>
      </c>
      <c r="F181" s="45"/>
      <c r="G181" s="46"/>
      <c r="H181" s="51"/>
    </row>
    <row r="182" spans="1:5" ht="15" customHeight="1">
      <c r="A182" s="99">
        <v>181</v>
      </c>
      <c r="B182" s="201" t="s">
        <v>231</v>
      </c>
      <c r="C182" s="202" t="s">
        <v>17</v>
      </c>
      <c r="D182" s="203" t="s">
        <v>320</v>
      </c>
      <c r="E182" s="196">
        <f>'VII.B'!H11</f>
        <v>60</v>
      </c>
    </row>
    <row r="183" spans="1:8" ht="15" customHeight="1">
      <c r="A183" s="99">
        <v>182</v>
      </c>
      <c r="B183" s="206" t="s">
        <v>138</v>
      </c>
      <c r="C183" s="207" t="s">
        <v>90</v>
      </c>
      <c r="D183" s="203" t="s">
        <v>200</v>
      </c>
      <c r="E183" s="196">
        <f>'V.A'!H14</f>
        <v>59</v>
      </c>
      <c r="F183" s="45"/>
      <c r="G183" s="46"/>
      <c r="H183" s="51"/>
    </row>
    <row r="184" spans="1:5" ht="15" customHeight="1">
      <c r="A184" s="99"/>
      <c r="B184" s="206" t="s">
        <v>296</v>
      </c>
      <c r="C184" s="207" t="s">
        <v>57</v>
      </c>
      <c r="D184" s="203" t="s">
        <v>346</v>
      </c>
      <c r="E184" s="196">
        <f>'VIII.B'!H21</f>
        <v>59</v>
      </c>
    </row>
    <row r="185" spans="1:5" ht="15" customHeight="1">
      <c r="A185" s="99"/>
      <c r="B185" s="206" t="s">
        <v>164</v>
      </c>
      <c r="C185" s="207" t="s">
        <v>76</v>
      </c>
      <c r="D185" s="203" t="s">
        <v>349</v>
      </c>
      <c r="E185" s="196">
        <f>'IX.B'!H12</f>
        <v>59</v>
      </c>
    </row>
    <row r="186" spans="1:9" ht="15" customHeight="1">
      <c r="A186" s="99">
        <v>185</v>
      </c>
      <c r="B186" s="204" t="s">
        <v>407</v>
      </c>
      <c r="C186" s="205" t="s">
        <v>408</v>
      </c>
      <c r="D186" s="203" t="s">
        <v>0</v>
      </c>
      <c r="E186" s="224">
        <f>'I.A'!H6</f>
        <v>58</v>
      </c>
      <c r="F186" s="45"/>
      <c r="G186" s="46"/>
      <c r="H186" s="51"/>
      <c r="I186" s="45"/>
    </row>
    <row r="187" spans="1:8" ht="15" customHeight="1">
      <c r="A187" s="99"/>
      <c r="B187" s="201" t="s">
        <v>368</v>
      </c>
      <c r="C187" s="202" t="s">
        <v>57</v>
      </c>
      <c r="D187" s="203" t="s">
        <v>69</v>
      </c>
      <c r="E187" s="196">
        <f>'II.A'!H22</f>
        <v>58</v>
      </c>
      <c r="F187" s="45"/>
      <c r="G187" s="46"/>
      <c r="H187" s="51"/>
    </row>
    <row r="188" spans="1:5" ht="15" customHeight="1">
      <c r="A188" s="99">
        <v>187</v>
      </c>
      <c r="B188" s="201" t="s">
        <v>378</v>
      </c>
      <c r="C188" s="202" t="s">
        <v>24</v>
      </c>
      <c r="D188" s="203" t="s">
        <v>101</v>
      </c>
      <c r="E188" s="196">
        <f>'II.B'!H12</f>
        <v>57</v>
      </c>
    </row>
    <row r="189" spans="1:8" ht="15" customHeight="1">
      <c r="A189" s="99"/>
      <c r="B189" s="206" t="s">
        <v>106</v>
      </c>
      <c r="C189" s="207" t="s">
        <v>97</v>
      </c>
      <c r="D189" s="203" t="s">
        <v>402</v>
      </c>
      <c r="E189" s="196">
        <f>'IV.B'!H6</f>
        <v>57</v>
      </c>
      <c r="H189" s="50"/>
    </row>
    <row r="190" spans="1:8" ht="15" customHeight="1">
      <c r="A190" s="99"/>
      <c r="B190" s="206" t="s">
        <v>14</v>
      </c>
      <c r="C190" s="207" t="s">
        <v>9</v>
      </c>
      <c r="D190" s="203" t="s">
        <v>200</v>
      </c>
      <c r="E190" s="196">
        <f>'V.A'!H7</f>
        <v>57</v>
      </c>
      <c r="F190" s="45"/>
      <c r="G190" s="46"/>
      <c r="H190" s="51"/>
    </row>
    <row r="191" spans="1:8" ht="15" customHeight="1">
      <c r="A191" s="99"/>
      <c r="B191" s="201" t="s">
        <v>161</v>
      </c>
      <c r="C191" s="202" t="s">
        <v>121</v>
      </c>
      <c r="D191" s="203" t="s">
        <v>279</v>
      </c>
      <c r="E191" s="196">
        <f>'VI.B'!H8</f>
        <v>57</v>
      </c>
      <c r="F191" s="45"/>
      <c r="G191" s="45"/>
      <c r="H191" s="51"/>
    </row>
    <row r="192" spans="1:8" ht="15" customHeight="1">
      <c r="A192" s="99"/>
      <c r="B192" s="206" t="s">
        <v>280</v>
      </c>
      <c r="C192" s="207" t="s">
        <v>160</v>
      </c>
      <c r="D192" s="203" t="s">
        <v>346</v>
      </c>
      <c r="E192" s="196">
        <f>'VIII.B'!H2</f>
        <v>57</v>
      </c>
      <c r="F192" s="45"/>
      <c r="G192" s="48"/>
      <c r="H192" s="51"/>
    </row>
    <row r="193" spans="1:9" ht="15" customHeight="1">
      <c r="A193" s="99"/>
      <c r="B193" s="206" t="s">
        <v>330</v>
      </c>
      <c r="C193" s="207" t="s">
        <v>44</v>
      </c>
      <c r="D193" s="203" t="s">
        <v>349</v>
      </c>
      <c r="E193" s="196">
        <f>'IX.B'!H10</f>
        <v>57</v>
      </c>
      <c r="F193" s="45"/>
      <c r="G193" s="46"/>
      <c r="H193" s="51"/>
      <c r="I193" s="45"/>
    </row>
    <row r="194" spans="1:5" ht="15">
      <c r="A194" s="99">
        <v>193</v>
      </c>
      <c r="B194" s="206" t="s">
        <v>147</v>
      </c>
      <c r="C194" s="207" t="s">
        <v>24</v>
      </c>
      <c r="D194" s="203" t="s">
        <v>200</v>
      </c>
      <c r="E194" s="196">
        <f>'V.A'!H22</f>
        <v>55</v>
      </c>
    </row>
    <row r="195" spans="1:5" ht="15" customHeight="1">
      <c r="A195" s="99"/>
      <c r="B195" s="228" t="s">
        <v>232</v>
      </c>
      <c r="C195" s="229" t="s">
        <v>137</v>
      </c>
      <c r="D195" s="203" t="s">
        <v>320</v>
      </c>
      <c r="E195" s="196">
        <f>'VII.B'!H12</f>
        <v>55</v>
      </c>
    </row>
    <row r="196" spans="1:9" ht="15">
      <c r="A196" s="99">
        <v>195</v>
      </c>
      <c r="B196" s="230" t="s">
        <v>196</v>
      </c>
      <c r="C196" s="231" t="s">
        <v>197</v>
      </c>
      <c r="D196" s="203" t="s">
        <v>248</v>
      </c>
      <c r="E196" s="196">
        <f>'VI.A'!H17</f>
        <v>54</v>
      </c>
      <c r="F196" s="45"/>
      <c r="G196" s="46"/>
      <c r="H196" s="51"/>
      <c r="I196" s="45"/>
    </row>
    <row r="197" spans="1:8" ht="15" customHeight="1">
      <c r="A197" s="99"/>
      <c r="B197" s="232" t="s">
        <v>224</v>
      </c>
      <c r="C197" s="233" t="s">
        <v>225</v>
      </c>
      <c r="D197" s="203" t="s">
        <v>320</v>
      </c>
      <c r="E197" s="196">
        <f>'VII.B'!H4</f>
        <v>54</v>
      </c>
      <c r="F197" s="45"/>
      <c r="G197" s="46"/>
      <c r="H197" s="51"/>
    </row>
    <row r="198" spans="1:9" ht="15" customHeight="1">
      <c r="A198" s="99">
        <v>197</v>
      </c>
      <c r="B198" s="232" t="s">
        <v>371</v>
      </c>
      <c r="C198" s="233" t="s">
        <v>110</v>
      </c>
      <c r="D198" s="203" t="s">
        <v>101</v>
      </c>
      <c r="E198" s="196">
        <f>'II.B'!H2</f>
        <v>53</v>
      </c>
      <c r="F198" s="45"/>
      <c r="G198" s="46"/>
      <c r="H198" s="51"/>
      <c r="I198" s="45"/>
    </row>
    <row r="199" spans="1:9" ht="15" customHeight="1">
      <c r="A199" s="99"/>
      <c r="B199" s="232" t="s">
        <v>79</v>
      </c>
      <c r="C199" s="233" t="s">
        <v>80</v>
      </c>
      <c r="D199" s="203" t="s">
        <v>153</v>
      </c>
      <c r="E199" s="196">
        <f>'IV.A'!H10</f>
        <v>53</v>
      </c>
      <c r="F199" s="45"/>
      <c r="G199" s="46"/>
      <c r="H199" s="51"/>
      <c r="I199" s="45"/>
    </row>
    <row r="200" spans="1:5" ht="15">
      <c r="A200" s="99">
        <v>199</v>
      </c>
      <c r="B200" s="232" t="s">
        <v>386</v>
      </c>
      <c r="C200" s="233" t="s">
        <v>242</v>
      </c>
      <c r="D200" s="203" t="s">
        <v>101</v>
      </c>
      <c r="E200" s="196">
        <f>'II.B'!H22</f>
        <v>52</v>
      </c>
    </row>
    <row r="201" spans="1:9" ht="15" customHeight="1">
      <c r="A201" s="99"/>
      <c r="B201" s="232" t="s">
        <v>20</v>
      </c>
      <c r="C201" s="233" t="s">
        <v>21</v>
      </c>
      <c r="D201" s="203" t="s">
        <v>124</v>
      </c>
      <c r="E201" s="225">
        <f>'III.A'!H11</f>
        <v>52</v>
      </c>
      <c r="F201" s="45"/>
      <c r="G201" s="46"/>
      <c r="H201" s="51"/>
      <c r="I201" s="45"/>
    </row>
    <row r="202" spans="1:5" ht="15">
      <c r="A202" s="99"/>
      <c r="B202" s="232" t="s">
        <v>72</v>
      </c>
      <c r="C202" s="233" t="s">
        <v>24</v>
      </c>
      <c r="D202" s="203" t="s">
        <v>153</v>
      </c>
      <c r="E202" s="196">
        <f>'IV.A'!H4</f>
        <v>52</v>
      </c>
    </row>
    <row r="203" spans="1:5" ht="15">
      <c r="A203" s="99">
        <v>202</v>
      </c>
      <c r="B203" s="232" t="s">
        <v>3</v>
      </c>
      <c r="C203" s="233" t="s">
        <v>4</v>
      </c>
      <c r="D203" s="203" t="s">
        <v>124</v>
      </c>
      <c r="E203" s="225">
        <f>'III.A'!H3</f>
        <v>51</v>
      </c>
    </row>
    <row r="204" spans="1:8" ht="15" customHeight="1">
      <c r="A204" s="99"/>
      <c r="B204" s="232" t="s">
        <v>14</v>
      </c>
      <c r="C204" s="233" t="s">
        <v>15</v>
      </c>
      <c r="D204" s="203" t="s">
        <v>124</v>
      </c>
      <c r="E204" s="225">
        <f>'III.A'!H8</f>
        <v>51</v>
      </c>
      <c r="F204" s="45"/>
      <c r="G204" s="46"/>
      <c r="H204" s="51"/>
    </row>
    <row r="205" spans="1:8" ht="15" customHeight="1">
      <c r="A205" s="99"/>
      <c r="B205" s="232" t="s">
        <v>210</v>
      </c>
      <c r="C205" s="233" t="s">
        <v>26</v>
      </c>
      <c r="D205" s="203" t="s">
        <v>299</v>
      </c>
      <c r="E205" s="196">
        <f>'VII.A'!H9</f>
        <v>51</v>
      </c>
      <c r="F205" s="45"/>
      <c r="G205" s="46"/>
      <c r="H205" s="51"/>
    </row>
    <row r="206" spans="1:8" ht="15" customHeight="1">
      <c r="A206" s="99"/>
      <c r="B206" s="232" t="s">
        <v>213</v>
      </c>
      <c r="C206" s="233" t="s">
        <v>31</v>
      </c>
      <c r="D206" s="203" t="s">
        <v>299</v>
      </c>
      <c r="E206" s="196">
        <f>'VII.A'!H11</f>
        <v>51</v>
      </c>
      <c r="F206" s="45"/>
      <c r="G206" s="46"/>
      <c r="H206" s="51"/>
    </row>
    <row r="207" spans="1:5" ht="15" customHeight="1">
      <c r="A207" s="99"/>
      <c r="B207" s="232" t="s">
        <v>219</v>
      </c>
      <c r="C207" s="233" t="s">
        <v>97</v>
      </c>
      <c r="D207" s="203" t="s">
        <v>299</v>
      </c>
      <c r="E207" s="196">
        <f>'VII.A'!H18</f>
        <v>51</v>
      </c>
    </row>
    <row r="208" spans="1:5" ht="15">
      <c r="A208" s="99"/>
      <c r="B208" s="230" t="s">
        <v>277</v>
      </c>
      <c r="C208" s="231" t="s">
        <v>53</v>
      </c>
      <c r="D208" s="203" t="s">
        <v>345</v>
      </c>
      <c r="E208" s="196">
        <f>'VIII.A'!H26</f>
        <v>51</v>
      </c>
    </row>
    <row r="209" spans="1:8" ht="15" customHeight="1">
      <c r="A209" s="99">
        <v>208</v>
      </c>
      <c r="B209" s="234" t="s">
        <v>404</v>
      </c>
      <c r="C209" s="235" t="s">
        <v>24</v>
      </c>
      <c r="D209" s="203" t="s">
        <v>0</v>
      </c>
      <c r="E209" s="224">
        <f>'I.A'!H3</f>
        <v>50</v>
      </c>
      <c r="F209" s="45"/>
      <c r="G209" s="48"/>
      <c r="H209" s="51"/>
    </row>
    <row r="210" spans="1:5" ht="15">
      <c r="A210" s="99"/>
      <c r="B210" s="232" t="s">
        <v>360</v>
      </c>
      <c r="C210" s="233" t="s">
        <v>7</v>
      </c>
      <c r="D210" s="203" t="s">
        <v>69</v>
      </c>
      <c r="E210" s="196">
        <f>'II.A'!H10</f>
        <v>50</v>
      </c>
    </row>
    <row r="211" spans="1:9" ht="15" customHeight="1">
      <c r="A211" s="99"/>
      <c r="B211" s="236" t="s">
        <v>47</v>
      </c>
      <c r="C211" s="237" t="s">
        <v>236</v>
      </c>
      <c r="D211" s="203" t="s">
        <v>320</v>
      </c>
      <c r="E211" s="196">
        <f>'VII.B'!H16</f>
        <v>50</v>
      </c>
      <c r="F211" s="45"/>
      <c r="G211" s="46"/>
      <c r="H211" s="51"/>
      <c r="I211" s="45"/>
    </row>
    <row r="212" spans="1:8" ht="15" customHeight="1">
      <c r="A212" s="99">
        <v>211</v>
      </c>
      <c r="B212" s="198" t="s">
        <v>38</v>
      </c>
      <c r="C212" s="199" t="s">
        <v>127</v>
      </c>
      <c r="D212" s="203" t="s">
        <v>37</v>
      </c>
      <c r="E212" s="225">
        <f>'I.B'!H2</f>
        <v>49</v>
      </c>
      <c r="F212" s="45"/>
      <c r="G212" s="46"/>
      <c r="H212" s="51"/>
    </row>
    <row r="213" spans="1:8" ht="15" customHeight="1">
      <c r="A213" s="99"/>
      <c r="B213" s="206" t="s">
        <v>393</v>
      </c>
      <c r="C213" s="207" t="s">
        <v>394</v>
      </c>
      <c r="D213" s="203" t="s">
        <v>402</v>
      </c>
      <c r="E213" s="196">
        <f>'IV.B'!H17</f>
        <v>49</v>
      </c>
      <c r="F213" s="45"/>
      <c r="G213" s="46"/>
      <c r="H213" s="51"/>
    </row>
    <row r="214" spans="1:9" ht="15" customHeight="1">
      <c r="A214" s="99"/>
      <c r="B214" s="206" t="s">
        <v>142</v>
      </c>
      <c r="C214" s="207" t="s">
        <v>143</v>
      </c>
      <c r="D214" s="203" t="s">
        <v>200</v>
      </c>
      <c r="E214" s="196">
        <f>'V.A'!H17</f>
        <v>49</v>
      </c>
      <c r="F214" s="45"/>
      <c r="G214" s="46"/>
      <c r="H214" s="51"/>
      <c r="I214" s="45"/>
    </row>
    <row r="215" spans="1:8" ht="15" customHeight="1">
      <c r="A215" s="99"/>
      <c r="B215" s="206" t="s">
        <v>142</v>
      </c>
      <c r="C215" s="207" t="s">
        <v>144</v>
      </c>
      <c r="D215" s="203" t="s">
        <v>200</v>
      </c>
      <c r="E215" s="196">
        <f>'V.A'!H18</f>
        <v>49</v>
      </c>
      <c r="F215" s="45"/>
      <c r="G215" s="46"/>
      <c r="H215" s="51"/>
    </row>
    <row r="216" spans="1:5" ht="15" customHeight="1">
      <c r="A216" s="99"/>
      <c r="B216" s="201" t="s">
        <v>310</v>
      </c>
      <c r="C216" s="202" t="s">
        <v>121</v>
      </c>
      <c r="D216" s="203" t="s">
        <v>348</v>
      </c>
      <c r="E216" s="196">
        <f>'IX.A'!H16</f>
        <v>49</v>
      </c>
    </row>
    <row r="217" spans="1:8" ht="15" customHeight="1">
      <c r="A217" s="99">
        <v>216</v>
      </c>
      <c r="B217" s="201" t="s">
        <v>47</v>
      </c>
      <c r="C217" s="202" t="s">
        <v>48</v>
      </c>
      <c r="D217" s="203" t="s">
        <v>353</v>
      </c>
      <c r="E217" s="196">
        <f>'III.B'!H9</f>
        <v>48</v>
      </c>
      <c r="F217" s="45"/>
      <c r="G217" s="46"/>
      <c r="H217" s="51"/>
    </row>
    <row r="218" spans="1:8" ht="15" customHeight="1">
      <c r="A218" s="99"/>
      <c r="B218" s="201" t="s">
        <v>93</v>
      </c>
      <c r="C218" s="202" t="s">
        <v>24</v>
      </c>
      <c r="D218" s="203" t="s">
        <v>153</v>
      </c>
      <c r="E218" s="196">
        <f>'IV.A'!H20</f>
        <v>48</v>
      </c>
      <c r="F218" s="45"/>
      <c r="G218" s="46"/>
      <c r="H218" s="51"/>
    </row>
    <row r="219" spans="1:9" ht="15" customHeight="1">
      <c r="A219" s="99"/>
      <c r="B219" s="201" t="s">
        <v>179</v>
      </c>
      <c r="C219" s="202" t="s">
        <v>76</v>
      </c>
      <c r="D219" s="203" t="s">
        <v>279</v>
      </c>
      <c r="E219" s="196">
        <f>'VI.B'!H2</f>
        <v>48</v>
      </c>
      <c r="F219" s="45"/>
      <c r="G219" s="46"/>
      <c r="H219" s="51"/>
      <c r="I219" s="45"/>
    </row>
    <row r="220" spans="1:5" ht="15">
      <c r="A220" s="99">
        <v>219</v>
      </c>
      <c r="B220" s="201" t="s">
        <v>228</v>
      </c>
      <c r="C220" s="202" t="s">
        <v>76</v>
      </c>
      <c r="D220" s="203" t="s">
        <v>320</v>
      </c>
      <c r="E220" s="196">
        <f>'VII.B'!H8</f>
        <v>47</v>
      </c>
    </row>
    <row r="221" spans="1:8" ht="15">
      <c r="A221" s="99">
        <v>220</v>
      </c>
      <c r="B221" s="201" t="s">
        <v>63</v>
      </c>
      <c r="C221" s="202" t="s">
        <v>64</v>
      </c>
      <c r="D221" s="203" t="s">
        <v>353</v>
      </c>
      <c r="E221" s="196">
        <f>'III.B'!H17</f>
        <v>46</v>
      </c>
      <c r="F221" s="45"/>
      <c r="G221" s="46"/>
      <c r="H221" s="51"/>
    </row>
    <row r="222" spans="1:8" ht="15">
      <c r="A222" s="99">
        <v>221</v>
      </c>
      <c r="B222" s="204" t="s">
        <v>257</v>
      </c>
      <c r="C222" s="205" t="s">
        <v>59</v>
      </c>
      <c r="D222" s="203" t="s">
        <v>0</v>
      </c>
      <c r="E222" s="224">
        <f>'I.A'!H10</f>
        <v>45</v>
      </c>
      <c r="F222" s="45"/>
      <c r="G222" s="46"/>
      <c r="H222" s="51"/>
    </row>
    <row r="223" spans="1:5" ht="15" customHeight="1">
      <c r="A223" s="99"/>
      <c r="B223" s="201" t="s">
        <v>390</v>
      </c>
      <c r="C223" s="202" t="s">
        <v>33</v>
      </c>
      <c r="D223" s="203" t="s">
        <v>353</v>
      </c>
      <c r="E223" s="196">
        <f>'III.B'!H4</f>
        <v>45</v>
      </c>
    </row>
    <row r="224" spans="1:8" ht="15" customHeight="1">
      <c r="A224" s="99"/>
      <c r="B224" s="206" t="s">
        <v>15</v>
      </c>
      <c r="C224" s="207" t="s">
        <v>114</v>
      </c>
      <c r="D224" s="203" t="s">
        <v>248</v>
      </c>
      <c r="E224" s="196">
        <f>'VI.A'!H9</f>
        <v>45</v>
      </c>
      <c r="F224" s="45"/>
      <c r="G224" s="46"/>
      <c r="H224" s="51"/>
    </row>
    <row r="225" spans="1:8" ht="15" customHeight="1">
      <c r="A225" s="99"/>
      <c r="B225" s="201" t="s">
        <v>32</v>
      </c>
      <c r="C225" s="202" t="s">
        <v>193</v>
      </c>
      <c r="D225" s="203" t="s">
        <v>279</v>
      </c>
      <c r="E225" s="196">
        <f>'VI.B'!H21</f>
        <v>45</v>
      </c>
      <c r="F225" s="45"/>
      <c r="G225" s="46"/>
      <c r="H225" s="51"/>
    </row>
    <row r="226" spans="1:5" ht="15">
      <c r="A226" s="99">
        <v>225</v>
      </c>
      <c r="B226" s="204" t="s">
        <v>262</v>
      </c>
      <c r="C226" s="205" t="s">
        <v>157</v>
      </c>
      <c r="D226" s="203" t="s">
        <v>0</v>
      </c>
      <c r="E226" s="224">
        <f>'I.A'!H12</f>
        <v>44</v>
      </c>
    </row>
    <row r="227" spans="1:8" ht="15" customHeight="1">
      <c r="A227" s="99">
        <v>226</v>
      </c>
      <c r="B227" s="201" t="s">
        <v>385</v>
      </c>
      <c r="C227" s="202" t="s">
        <v>21</v>
      </c>
      <c r="D227" s="203" t="s">
        <v>101</v>
      </c>
      <c r="E227" s="196">
        <f>'II.B'!H21</f>
        <v>44</v>
      </c>
      <c r="F227" s="45"/>
      <c r="G227" s="46"/>
      <c r="H227" s="51"/>
    </row>
    <row r="228" spans="1:8" ht="15" customHeight="1">
      <c r="A228" s="99"/>
      <c r="B228" s="206" t="s">
        <v>176</v>
      </c>
      <c r="C228" s="207" t="s">
        <v>59</v>
      </c>
      <c r="D228" s="203" t="s">
        <v>248</v>
      </c>
      <c r="E228" s="196">
        <f>'VI.A'!H15</f>
        <v>44</v>
      </c>
      <c r="F228" s="45"/>
      <c r="G228" s="46"/>
      <c r="H228" s="51"/>
    </row>
    <row r="229" spans="1:8" ht="15" customHeight="1">
      <c r="A229" s="99"/>
      <c r="B229" s="206" t="s">
        <v>293</v>
      </c>
      <c r="C229" s="207" t="s">
        <v>193</v>
      </c>
      <c r="D229" s="203" t="s">
        <v>346</v>
      </c>
      <c r="E229" s="196">
        <f>'VIII.B'!H17</f>
        <v>44</v>
      </c>
      <c r="F229" s="45"/>
      <c r="G229" s="46"/>
      <c r="H229" s="51"/>
    </row>
    <row r="230" spans="1:5" ht="15">
      <c r="A230" s="99">
        <v>229</v>
      </c>
      <c r="B230" s="201" t="s">
        <v>89</v>
      </c>
      <c r="C230" s="202" t="s">
        <v>90</v>
      </c>
      <c r="D230" s="203" t="s">
        <v>153</v>
      </c>
      <c r="E230" s="196">
        <f>'IV.A'!H17</f>
        <v>43</v>
      </c>
    </row>
    <row r="231" spans="1:8" ht="15" customHeight="1">
      <c r="A231" s="99"/>
      <c r="B231" s="206" t="s">
        <v>250</v>
      </c>
      <c r="C231" s="207" t="s">
        <v>97</v>
      </c>
      <c r="D231" s="203" t="s">
        <v>345</v>
      </c>
      <c r="E231" s="196">
        <f>'VIII.A'!H3</f>
        <v>43</v>
      </c>
      <c r="F231" s="45"/>
      <c r="G231" s="46"/>
      <c r="H231" s="51"/>
    </row>
    <row r="232" spans="1:8" ht="15" customHeight="1">
      <c r="A232" s="99"/>
      <c r="B232" s="206" t="s">
        <v>274</v>
      </c>
      <c r="C232" s="207" t="s">
        <v>57</v>
      </c>
      <c r="D232" s="203" t="s">
        <v>345</v>
      </c>
      <c r="E232" s="196">
        <f>'VIII.A'!H22</f>
        <v>43</v>
      </c>
      <c r="F232" s="45"/>
      <c r="G232" s="46"/>
      <c r="H232" s="51"/>
    </row>
    <row r="233" spans="1:9" ht="15" customHeight="1">
      <c r="A233" s="99"/>
      <c r="B233" s="206" t="s">
        <v>298</v>
      </c>
      <c r="C233" s="207" t="s">
        <v>64</v>
      </c>
      <c r="D233" s="203" t="s">
        <v>346</v>
      </c>
      <c r="E233" s="196">
        <f>'VIII.B'!H23</f>
        <v>43</v>
      </c>
      <c r="F233" s="45"/>
      <c r="G233" s="46"/>
      <c r="H233" s="51"/>
      <c r="I233" s="45"/>
    </row>
    <row r="234" spans="1:8" ht="15" customHeight="1">
      <c r="A234" s="99">
        <v>233</v>
      </c>
      <c r="B234" s="201" t="s">
        <v>375</v>
      </c>
      <c r="C234" s="202" t="s">
        <v>13</v>
      </c>
      <c r="D234" s="203" t="s">
        <v>101</v>
      </c>
      <c r="E234" s="196">
        <f>'II.B'!H6</f>
        <v>42</v>
      </c>
      <c r="F234" s="45"/>
      <c r="G234" s="46"/>
      <c r="H234" s="51"/>
    </row>
    <row r="235" spans="1:5" ht="15" customHeight="1">
      <c r="A235" s="99"/>
      <c r="B235" s="209" t="s">
        <v>108</v>
      </c>
      <c r="C235" s="220" t="s">
        <v>44</v>
      </c>
      <c r="D235" s="203" t="s">
        <v>402</v>
      </c>
      <c r="E235" s="196">
        <f>'IV.B'!H9</f>
        <v>42</v>
      </c>
    </row>
    <row r="236" spans="1:9" ht="15">
      <c r="A236" s="99"/>
      <c r="B236" s="201" t="s">
        <v>199</v>
      </c>
      <c r="C236" s="202" t="s">
        <v>137</v>
      </c>
      <c r="D236" s="203" t="s">
        <v>279</v>
      </c>
      <c r="E236" s="196">
        <f>'VI.B'!H24</f>
        <v>42</v>
      </c>
      <c r="F236" s="45"/>
      <c r="G236" s="46"/>
      <c r="H236" s="51"/>
      <c r="I236" s="45"/>
    </row>
    <row r="237" spans="1:8" ht="15" customHeight="1">
      <c r="A237" s="99"/>
      <c r="B237" s="206" t="s">
        <v>262</v>
      </c>
      <c r="C237" s="207" t="s">
        <v>263</v>
      </c>
      <c r="D237" s="203" t="s">
        <v>345</v>
      </c>
      <c r="E237" s="196">
        <f>'VIII.A'!H12</f>
        <v>42</v>
      </c>
      <c r="F237" s="45"/>
      <c r="G237" s="46"/>
      <c r="H237" s="51"/>
    </row>
    <row r="238" spans="1:5" ht="15">
      <c r="A238" s="99">
        <v>237</v>
      </c>
      <c r="B238" s="201" t="s">
        <v>67</v>
      </c>
      <c r="C238" s="202" t="s">
        <v>17</v>
      </c>
      <c r="D238" s="203" t="s">
        <v>353</v>
      </c>
      <c r="E238" s="196">
        <f>'III.B'!H19</f>
        <v>41</v>
      </c>
    </row>
    <row r="239" spans="1:8" ht="15" customHeight="1">
      <c r="A239" s="99"/>
      <c r="B239" s="206" t="s">
        <v>448</v>
      </c>
      <c r="C239" s="207" t="s">
        <v>13</v>
      </c>
      <c r="D239" s="203" t="s">
        <v>200</v>
      </c>
      <c r="E239" s="196">
        <f>'V.A'!H21</f>
        <v>41</v>
      </c>
      <c r="F239" s="45"/>
      <c r="G239" s="46"/>
      <c r="H239" s="51"/>
    </row>
    <row r="240" spans="1:8" ht="15" customHeight="1">
      <c r="A240" s="99"/>
      <c r="B240" s="201" t="s">
        <v>238</v>
      </c>
      <c r="C240" s="202" t="s">
        <v>31</v>
      </c>
      <c r="D240" s="203" t="s">
        <v>320</v>
      </c>
      <c r="E240" s="196">
        <f>'VII.B'!H19</f>
        <v>41</v>
      </c>
      <c r="F240" s="45"/>
      <c r="G240" s="46"/>
      <c r="H240" s="51"/>
    </row>
    <row r="241" spans="1:9" ht="15">
      <c r="A241" s="99">
        <v>240</v>
      </c>
      <c r="B241" s="204" t="s">
        <v>435</v>
      </c>
      <c r="C241" s="205" t="s">
        <v>35</v>
      </c>
      <c r="D241" s="203" t="s">
        <v>37</v>
      </c>
      <c r="E241" s="225">
        <f>'I.B'!H17</f>
        <v>39</v>
      </c>
      <c r="F241" s="45"/>
      <c r="G241" s="46"/>
      <c r="H241" s="51"/>
      <c r="I241" s="45"/>
    </row>
    <row r="242" spans="1:5" ht="15" customHeight="1">
      <c r="A242" s="99"/>
      <c r="B242" s="201" t="s">
        <v>54</v>
      </c>
      <c r="C242" s="202" t="s">
        <v>55</v>
      </c>
      <c r="D242" s="203" t="s">
        <v>353</v>
      </c>
      <c r="E242" s="196">
        <f>'III.B'!H12</f>
        <v>39</v>
      </c>
    </row>
    <row r="243" spans="1:5" ht="15" customHeight="1">
      <c r="A243" s="99"/>
      <c r="B243" s="201" t="s">
        <v>217</v>
      </c>
      <c r="C243" s="202" t="s">
        <v>110</v>
      </c>
      <c r="D243" s="203" t="s">
        <v>299</v>
      </c>
      <c r="E243" s="196">
        <f>'VII.A'!H15</f>
        <v>39</v>
      </c>
    </row>
    <row r="244" spans="1:8" ht="15" customHeight="1">
      <c r="A244" s="99">
        <v>243</v>
      </c>
      <c r="B244" s="201" t="s">
        <v>100</v>
      </c>
      <c r="C244" s="202" t="s">
        <v>55</v>
      </c>
      <c r="D244" s="203" t="s">
        <v>153</v>
      </c>
      <c r="E244" s="196">
        <f>'IV.A'!H24</f>
        <v>38</v>
      </c>
      <c r="F244" s="45"/>
      <c r="G244" s="46"/>
      <c r="H244" s="51"/>
    </row>
    <row r="245" spans="1:8" ht="15" customHeight="1">
      <c r="A245" s="99"/>
      <c r="B245" s="238" t="s">
        <v>206</v>
      </c>
      <c r="C245" s="239" t="s">
        <v>207</v>
      </c>
      <c r="D245" s="203" t="s">
        <v>299</v>
      </c>
      <c r="E245" s="196">
        <f>'VII.A'!H6</f>
        <v>38</v>
      </c>
      <c r="F245" s="45"/>
      <c r="G245" s="46"/>
      <c r="H245" s="51"/>
    </row>
    <row r="246" spans="1:5" ht="15" customHeight="1">
      <c r="A246" s="99">
        <v>245</v>
      </c>
      <c r="B246" s="204" t="s">
        <v>421</v>
      </c>
      <c r="C246" s="205" t="s">
        <v>17</v>
      </c>
      <c r="D246" s="203" t="s">
        <v>0</v>
      </c>
      <c r="E246" s="224">
        <f>'I.A'!H21</f>
        <v>37</v>
      </c>
    </row>
    <row r="247" spans="1:8" ht="15">
      <c r="A247" s="99"/>
      <c r="B247" s="201" t="s">
        <v>389</v>
      </c>
      <c r="C247" s="202" t="s">
        <v>442</v>
      </c>
      <c r="D247" s="203" t="s">
        <v>124</v>
      </c>
      <c r="E247" s="225">
        <f>'III.A'!H14</f>
        <v>37</v>
      </c>
      <c r="H247" s="50"/>
    </row>
    <row r="248" spans="1:8" ht="15" customHeight="1">
      <c r="A248" s="99"/>
      <c r="B248" s="206" t="s">
        <v>267</v>
      </c>
      <c r="C248" s="207" t="s">
        <v>44</v>
      </c>
      <c r="D248" s="203" t="s">
        <v>345</v>
      </c>
      <c r="E248" s="196">
        <f>'VIII.A'!H15</f>
        <v>37</v>
      </c>
      <c r="F248" s="45"/>
      <c r="G248" s="46"/>
      <c r="H248" s="51"/>
    </row>
    <row r="249" spans="1:8" ht="15" customHeight="1">
      <c r="A249" s="99"/>
      <c r="B249" s="201" t="s">
        <v>286</v>
      </c>
      <c r="C249" s="202" t="s">
        <v>90</v>
      </c>
      <c r="D249" s="203" t="s">
        <v>348</v>
      </c>
      <c r="E249" s="196">
        <f>'IX.A'!H8</f>
        <v>37</v>
      </c>
      <c r="F249" s="45"/>
      <c r="G249" s="46"/>
      <c r="H249" s="51"/>
    </row>
    <row r="250" spans="1:5" ht="15">
      <c r="A250" s="99">
        <v>249</v>
      </c>
      <c r="B250" s="201" t="s">
        <v>65</v>
      </c>
      <c r="C250" s="202" t="s">
        <v>66</v>
      </c>
      <c r="D250" s="203" t="s">
        <v>353</v>
      </c>
      <c r="E250" s="196">
        <f>'III.B'!H18</f>
        <v>36</v>
      </c>
    </row>
    <row r="251" spans="1:9" ht="15">
      <c r="A251" s="99"/>
      <c r="B251" s="206" t="s">
        <v>120</v>
      </c>
      <c r="C251" s="207" t="s">
        <v>121</v>
      </c>
      <c r="D251" s="203" t="s">
        <v>402</v>
      </c>
      <c r="E251" s="196">
        <f>'IV.B'!H20</f>
        <v>36</v>
      </c>
      <c r="F251" s="45"/>
      <c r="G251" s="46"/>
      <c r="H251" s="51"/>
      <c r="I251" s="45"/>
    </row>
    <row r="252" spans="1:8" ht="15" customHeight="1">
      <c r="A252" s="99">
        <v>251</v>
      </c>
      <c r="B252" s="206" t="s">
        <v>115</v>
      </c>
      <c r="C252" s="207" t="s">
        <v>116</v>
      </c>
      <c r="D252" s="203" t="s">
        <v>402</v>
      </c>
      <c r="E252" s="196">
        <f>'IV.B'!H15</f>
        <v>35</v>
      </c>
      <c r="F252" s="45"/>
      <c r="G252" s="45"/>
      <c r="H252" s="51"/>
    </row>
    <row r="253" spans="1:5" ht="15">
      <c r="A253" s="99"/>
      <c r="B253" s="206" t="s">
        <v>126</v>
      </c>
      <c r="C253" s="207" t="s">
        <v>127</v>
      </c>
      <c r="D253" s="203" t="s">
        <v>200</v>
      </c>
      <c r="E253" s="196">
        <f>'V.A'!H4</f>
        <v>35</v>
      </c>
    </row>
    <row r="254" spans="1:9" ht="15" customHeight="1">
      <c r="A254" s="99">
        <v>253</v>
      </c>
      <c r="B254" s="201" t="s">
        <v>399</v>
      </c>
      <c r="C254" s="202" t="s">
        <v>59</v>
      </c>
      <c r="D254" s="203" t="s">
        <v>69</v>
      </c>
      <c r="E254" s="196">
        <f>'II.A'!H19</f>
        <v>34</v>
      </c>
      <c r="F254" s="45"/>
      <c r="G254" s="46"/>
      <c r="H254" s="51"/>
      <c r="I254" s="45"/>
    </row>
    <row r="255" spans="1:9" ht="15" customHeight="1">
      <c r="A255" s="99">
        <v>254</v>
      </c>
      <c r="B255" s="215" t="s">
        <v>87</v>
      </c>
      <c r="C255" s="216" t="s">
        <v>88</v>
      </c>
      <c r="D255" s="203" t="s">
        <v>153</v>
      </c>
      <c r="E255" s="196">
        <f>'IV.A'!H16</f>
        <v>33</v>
      </c>
      <c r="F255" s="45"/>
      <c r="G255" s="46"/>
      <c r="H255" s="51"/>
      <c r="I255" s="45"/>
    </row>
    <row r="256" spans="1:5" ht="15" customHeight="1">
      <c r="A256" s="99">
        <v>255</v>
      </c>
      <c r="B256" s="201" t="s">
        <v>376</v>
      </c>
      <c r="C256" s="202" t="s">
        <v>95</v>
      </c>
      <c r="D256" s="203" t="s">
        <v>101</v>
      </c>
      <c r="E256" s="196">
        <f>'II.B'!H7</f>
        <v>32</v>
      </c>
    </row>
    <row r="257" spans="1:5" ht="15" customHeight="1">
      <c r="A257" s="99"/>
      <c r="B257" s="201" t="s">
        <v>211</v>
      </c>
      <c r="C257" s="202" t="s">
        <v>212</v>
      </c>
      <c r="D257" s="203" t="s">
        <v>299</v>
      </c>
      <c r="E257" s="196">
        <f>'VII.A'!H10</f>
        <v>32</v>
      </c>
    </row>
    <row r="258" spans="1:8" ht="15" customHeight="1">
      <c r="A258" s="99"/>
      <c r="B258" s="201" t="s">
        <v>306</v>
      </c>
      <c r="C258" s="202" t="s">
        <v>160</v>
      </c>
      <c r="D258" s="203" t="s">
        <v>348</v>
      </c>
      <c r="E258" s="196">
        <f>'IX.A'!H11</f>
        <v>32</v>
      </c>
      <c r="F258" s="45"/>
      <c r="G258" s="46"/>
      <c r="H258" s="51"/>
    </row>
    <row r="259" spans="1:5" ht="15" customHeight="1">
      <c r="A259" s="99"/>
      <c r="B259" s="206" t="s">
        <v>321</v>
      </c>
      <c r="C259" s="207" t="s">
        <v>322</v>
      </c>
      <c r="D259" s="203" t="s">
        <v>349</v>
      </c>
      <c r="E259" s="196">
        <f>'IX.B'!H2</f>
        <v>32</v>
      </c>
    </row>
    <row r="260" spans="1:5" ht="15">
      <c r="A260" s="99"/>
      <c r="B260" s="206" t="s">
        <v>343</v>
      </c>
      <c r="C260" s="207" t="s">
        <v>135</v>
      </c>
      <c r="D260" s="203" t="s">
        <v>349</v>
      </c>
      <c r="E260" s="196">
        <f>'IX.B'!H22</f>
        <v>32</v>
      </c>
    </row>
    <row r="261" spans="1:8" ht="15">
      <c r="A261" s="99">
        <v>260</v>
      </c>
      <c r="B261" s="206" t="s">
        <v>444</v>
      </c>
      <c r="C261" s="207" t="s">
        <v>445</v>
      </c>
      <c r="D261" s="203" t="s">
        <v>402</v>
      </c>
      <c r="E261" s="196">
        <f>'IV.B'!H16</f>
        <v>31</v>
      </c>
      <c r="F261" s="45"/>
      <c r="G261" s="46"/>
      <c r="H261" s="51"/>
    </row>
    <row r="262" spans="1:8" ht="15" customHeight="1">
      <c r="A262" s="99"/>
      <c r="B262" s="206" t="s">
        <v>159</v>
      </c>
      <c r="C262" s="207" t="s">
        <v>160</v>
      </c>
      <c r="D262" s="203" t="s">
        <v>248</v>
      </c>
      <c r="E262" s="196">
        <f>'VI.A'!H3</f>
        <v>31</v>
      </c>
      <c r="F262" s="45"/>
      <c r="G262" s="46"/>
      <c r="H262" s="51"/>
    </row>
    <row r="263" spans="1:9" ht="15">
      <c r="A263" s="99"/>
      <c r="B263" s="201" t="s">
        <v>147</v>
      </c>
      <c r="C263" s="202" t="s">
        <v>245</v>
      </c>
      <c r="D263" s="203" t="s">
        <v>320</v>
      </c>
      <c r="E263" s="196">
        <f>'VII.B'!H26</f>
        <v>31</v>
      </c>
      <c r="F263" s="45"/>
      <c r="G263" s="46"/>
      <c r="H263" s="51"/>
      <c r="I263" s="45"/>
    </row>
    <row r="264" spans="1:8" ht="15" customHeight="1">
      <c r="A264" s="99">
        <v>263</v>
      </c>
      <c r="B264" s="206" t="s">
        <v>149</v>
      </c>
      <c r="C264" s="207" t="s">
        <v>150</v>
      </c>
      <c r="D264" s="203" t="s">
        <v>200</v>
      </c>
      <c r="E264" s="196">
        <f>'V.A'!H25</f>
        <v>30</v>
      </c>
      <c r="H264" s="50"/>
    </row>
    <row r="265" spans="1:8" ht="15" customHeight="1">
      <c r="A265" s="99"/>
      <c r="B265" s="201" t="s">
        <v>234</v>
      </c>
      <c r="C265" s="202" t="s">
        <v>110</v>
      </c>
      <c r="D265" s="203" t="s">
        <v>320</v>
      </c>
      <c r="E265" s="196">
        <f>'VII.B'!H14</f>
        <v>30</v>
      </c>
      <c r="F265" s="45"/>
      <c r="G265" s="48"/>
      <c r="H265" s="51"/>
    </row>
    <row r="266" spans="1:9" ht="15" customHeight="1">
      <c r="A266" s="99">
        <v>265</v>
      </c>
      <c r="B266" s="206" t="s">
        <v>123</v>
      </c>
      <c r="C266" s="207" t="s">
        <v>85</v>
      </c>
      <c r="D266" s="203" t="s">
        <v>402</v>
      </c>
      <c r="E266" s="196">
        <f>'IV.B'!H22</f>
        <v>29</v>
      </c>
      <c r="F266" s="45"/>
      <c r="G266" s="46"/>
      <c r="H266" s="51"/>
      <c r="I266" s="45"/>
    </row>
    <row r="267" spans="1:8" ht="15" customHeight="1">
      <c r="A267" s="99"/>
      <c r="B267" s="206" t="s">
        <v>251</v>
      </c>
      <c r="C267" s="207" t="s">
        <v>252</v>
      </c>
      <c r="D267" s="203" t="s">
        <v>345</v>
      </c>
      <c r="E267" s="196">
        <f>'VIII.A'!H4</f>
        <v>29</v>
      </c>
      <c r="F267" s="45"/>
      <c r="G267" s="46"/>
      <c r="H267" s="51"/>
    </row>
    <row r="268" spans="1:8" ht="15" customHeight="1">
      <c r="A268" s="99"/>
      <c r="B268" s="206" t="s">
        <v>326</v>
      </c>
      <c r="C268" s="207" t="s">
        <v>50</v>
      </c>
      <c r="D268" s="203" t="s">
        <v>349</v>
      </c>
      <c r="E268" s="196">
        <f>'IX.B'!H6</f>
        <v>29</v>
      </c>
      <c r="F268" s="45"/>
      <c r="G268" s="46"/>
      <c r="H268" s="51"/>
    </row>
    <row r="269" spans="1:5" ht="15">
      <c r="A269" s="99">
        <v>268</v>
      </c>
      <c r="B269" s="201" t="s">
        <v>74</v>
      </c>
      <c r="C269" s="202" t="s">
        <v>17</v>
      </c>
      <c r="D269" s="203" t="s">
        <v>153</v>
      </c>
      <c r="E269" s="196">
        <f>'IV.A'!H6</f>
        <v>28</v>
      </c>
    </row>
    <row r="270" spans="1:5" ht="15" customHeight="1">
      <c r="A270" s="99">
        <v>269</v>
      </c>
      <c r="B270" s="201" t="s">
        <v>308</v>
      </c>
      <c r="C270" s="202" t="s">
        <v>309</v>
      </c>
      <c r="D270" s="203" t="s">
        <v>348</v>
      </c>
      <c r="E270" s="196">
        <f>'IX.A'!H15</f>
        <v>27</v>
      </c>
    </row>
    <row r="271" spans="1:8" ht="15" customHeight="1">
      <c r="A271" s="99">
        <v>270</v>
      </c>
      <c r="B271" s="204" t="s">
        <v>429</v>
      </c>
      <c r="C271" s="205" t="s">
        <v>85</v>
      </c>
      <c r="D271" s="203" t="s">
        <v>37</v>
      </c>
      <c r="E271" s="225">
        <f>'I.B'!H9</f>
        <v>26</v>
      </c>
      <c r="F271" s="45"/>
      <c r="G271" s="46"/>
      <c r="H271" s="51"/>
    </row>
    <row r="272" spans="1:5" ht="15" customHeight="1">
      <c r="A272" s="99"/>
      <c r="B272" s="206" t="s">
        <v>109</v>
      </c>
      <c r="C272" s="207" t="s">
        <v>110</v>
      </c>
      <c r="D272" s="203" t="s">
        <v>402</v>
      </c>
      <c r="E272" s="196">
        <f>'IV.B'!H10</f>
        <v>26</v>
      </c>
    </row>
    <row r="273" spans="1:8" ht="15">
      <c r="A273" s="99"/>
      <c r="B273" s="201" t="s">
        <v>151</v>
      </c>
      <c r="C273" s="202" t="s">
        <v>70</v>
      </c>
      <c r="D273" s="203" t="s">
        <v>299</v>
      </c>
      <c r="E273" s="196">
        <f>'VII.A'!H20</f>
        <v>26</v>
      </c>
      <c r="F273" s="45"/>
      <c r="G273" s="48"/>
      <c r="H273" s="51"/>
    </row>
    <row r="274" spans="1:5" ht="15" customHeight="1">
      <c r="A274" s="99"/>
      <c r="B274" s="201" t="s">
        <v>246</v>
      </c>
      <c r="C274" s="202" t="s">
        <v>247</v>
      </c>
      <c r="D274" s="203" t="s">
        <v>320</v>
      </c>
      <c r="E274" s="196">
        <f>'VII.B'!H27</f>
        <v>26</v>
      </c>
    </row>
    <row r="275" spans="1:8" ht="15">
      <c r="A275" s="99"/>
      <c r="B275" s="201" t="s">
        <v>301</v>
      </c>
      <c r="C275" s="202" t="s">
        <v>41</v>
      </c>
      <c r="D275" s="203" t="s">
        <v>348</v>
      </c>
      <c r="E275" s="196">
        <f>'IX.A'!H4</f>
        <v>26</v>
      </c>
      <c r="F275" s="45"/>
      <c r="G275" s="46"/>
      <c r="H275" s="51"/>
    </row>
    <row r="276" spans="1:8" ht="15" customHeight="1">
      <c r="A276" s="99"/>
      <c r="B276" s="206" t="s">
        <v>63</v>
      </c>
      <c r="C276" s="207" t="s">
        <v>24</v>
      </c>
      <c r="D276" s="203" t="s">
        <v>349</v>
      </c>
      <c r="E276" s="196">
        <f>'IX.B'!H20</f>
        <v>26</v>
      </c>
      <c r="H276" s="50"/>
    </row>
    <row r="277" spans="1:8" ht="15" customHeight="1">
      <c r="A277" s="99">
        <v>276</v>
      </c>
      <c r="B277" s="201" t="s">
        <v>34</v>
      </c>
      <c r="C277" s="202" t="s">
        <v>35</v>
      </c>
      <c r="D277" s="203" t="s">
        <v>124</v>
      </c>
      <c r="E277" s="225">
        <f>'III.A'!H20</f>
        <v>25</v>
      </c>
      <c r="F277" s="45"/>
      <c r="G277" s="48"/>
      <c r="H277" s="51"/>
    </row>
    <row r="278" spans="1:9" ht="15">
      <c r="A278" s="99"/>
      <c r="B278" s="201" t="s">
        <v>58</v>
      </c>
      <c r="C278" s="202" t="s">
        <v>59</v>
      </c>
      <c r="D278" s="203" t="s">
        <v>353</v>
      </c>
      <c r="E278" s="196">
        <f>'III.B'!H14</f>
        <v>25</v>
      </c>
      <c r="F278" s="45"/>
      <c r="G278" s="46"/>
      <c r="H278" s="51"/>
      <c r="I278" s="45"/>
    </row>
    <row r="279" spans="1:8" ht="15" customHeight="1">
      <c r="A279" s="99"/>
      <c r="B279" s="206" t="s">
        <v>128</v>
      </c>
      <c r="C279" s="207" t="s">
        <v>97</v>
      </c>
      <c r="D279" s="203" t="s">
        <v>402</v>
      </c>
      <c r="E279" s="196">
        <f>'IV.B'!H8</f>
        <v>25</v>
      </c>
      <c r="F279" s="45"/>
      <c r="G279" s="46"/>
      <c r="H279" s="51"/>
    </row>
    <row r="280" spans="1:5" ht="15" customHeight="1">
      <c r="A280" s="99"/>
      <c r="B280" s="201" t="s">
        <v>158</v>
      </c>
      <c r="C280" s="202" t="s">
        <v>99</v>
      </c>
      <c r="D280" s="203" t="s">
        <v>279</v>
      </c>
      <c r="E280" s="196">
        <f>'VI.B'!H5</f>
        <v>25</v>
      </c>
    </row>
    <row r="281" spans="1:5" ht="15">
      <c r="A281" s="99"/>
      <c r="B281" s="215" t="s">
        <v>163</v>
      </c>
      <c r="C281" s="216" t="s">
        <v>64</v>
      </c>
      <c r="D281" s="203" t="s">
        <v>279</v>
      </c>
      <c r="E281" s="196">
        <f>'VI.B'!H10</f>
        <v>25</v>
      </c>
    </row>
    <row r="282" spans="1:5" ht="15">
      <c r="A282" s="99"/>
      <c r="B282" s="206" t="s">
        <v>342</v>
      </c>
      <c r="C282" s="207" t="s">
        <v>169</v>
      </c>
      <c r="D282" s="203" t="s">
        <v>349</v>
      </c>
      <c r="E282" s="196">
        <f>'IX.B'!H21</f>
        <v>25</v>
      </c>
    </row>
    <row r="283" spans="1:8" ht="15" customHeight="1">
      <c r="A283" s="99">
        <v>282</v>
      </c>
      <c r="B283" s="204" t="s">
        <v>411</v>
      </c>
      <c r="C283" s="205" t="s">
        <v>64</v>
      </c>
      <c r="D283" s="203" t="s">
        <v>0</v>
      </c>
      <c r="E283" s="224">
        <f>'I.A'!H9</f>
        <v>24</v>
      </c>
      <c r="F283" s="45"/>
      <c r="G283" s="46"/>
      <c r="H283" s="51"/>
    </row>
    <row r="284" spans="1:8" ht="15">
      <c r="A284" s="99"/>
      <c r="B284" s="201" t="s">
        <v>38</v>
      </c>
      <c r="C284" s="202" t="s">
        <v>13</v>
      </c>
      <c r="D284" s="203" t="s">
        <v>353</v>
      </c>
      <c r="E284" s="196">
        <f>'III.B'!H2</f>
        <v>24</v>
      </c>
      <c r="F284" s="45"/>
      <c r="G284" s="46"/>
      <c r="H284" s="51"/>
    </row>
    <row r="285" spans="1:8" ht="15" customHeight="1">
      <c r="A285" s="99"/>
      <c r="B285" s="201" t="s">
        <v>77</v>
      </c>
      <c r="C285" s="202" t="s">
        <v>41</v>
      </c>
      <c r="D285" s="203" t="s">
        <v>153</v>
      </c>
      <c r="E285" s="196">
        <f>'IV.A'!H8</f>
        <v>24</v>
      </c>
      <c r="F285" s="45"/>
      <c r="G285" s="46"/>
      <c r="H285" s="51"/>
    </row>
    <row r="286" spans="1:8" ht="15" customHeight="1">
      <c r="A286" s="99"/>
      <c r="B286" s="206" t="s">
        <v>125</v>
      </c>
      <c r="C286" s="207" t="s">
        <v>83</v>
      </c>
      <c r="D286" s="203" t="s">
        <v>200</v>
      </c>
      <c r="E286" s="196">
        <f>'V.A'!H2</f>
        <v>24</v>
      </c>
      <c r="F286" s="45"/>
      <c r="G286" s="46"/>
      <c r="H286" s="51"/>
    </row>
    <row r="287" spans="1:5" ht="15" customHeight="1">
      <c r="A287" s="99"/>
      <c r="B287" s="206" t="s">
        <v>139</v>
      </c>
      <c r="C287" s="207" t="s">
        <v>48</v>
      </c>
      <c r="D287" s="203" t="s">
        <v>200</v>
      </c>
      <c r="E287" s="196">
        <f>'V.A'!H15</f>
        <v>24</v>
      </c>
    </row>
    <row r="288" spans="1:8" ht="15" customHeight="1">
      <c r="A288" s="99">
        <v>287</v>
      </c>
      <c r="B288" s="204" t="s">
        <v>423</v>
      </c>
      <c r="C288" s="205" t="s">
        <v>424</v>
      </c>
      <c r="D288" s="203" t="s">
        <v>37</v>
      </c>
      <c r="E288" s="225">
        <f>'I.B'!H3</f>
        <v>22</v>
      </c>
      <c r="F288" s="45"/>
      <c r="G288" s="48"/>
      <c r="H288" s="51"/>
    </row>
    <row r="289" spans="1:8" ht="15" customHeight="1">
      <c r="A289" s="99"/>
      <c r="B289" s="206" t="s">
        <v>446</v>
      </c>
      <c r="C289" s="207" t="s">
        <v>447</v>
      </c>
      <c r="D289" s="203" t="s">
        <v>200</v>
      </c>
      <c r="E289" s="196">
        <f>'V.A'!H12</f>
        <v>21</v>
      </c>
      <c r="F289" s="45"/>
      <c r="G289" s="46"/>
      <c r="H289" s="51"/>
    </row>
    <row r="290" spans="1:5" ht="15" customHeight="1">
      <c r="A290" s="99"/>
      <c r="B290" s="201" t="s">
        <v>215</v>
      </c>
      <c r="C290" s="202" t="s">
        <v>13</v>
      </c>
      <c r="D290" s="203" t="s">
        <v>299</v>
      </c>
      <c r="E290" s="196">
        <f>'VII.A'!H13</f>
        <v>21</v>
      </c>
    </row>
    <row r="291" spans="1:8" ht="15" customHeight="1">
      <c r="A291" s="99"/>
      <c r="B291" s="206" t="s">
        <v>340</v>
      </c>
      <c r="C291" s="207" t="s">
        <v>97</v>
      </c>
      <c r="D291" s="203" t="s">
        <v>349</v>
      </c>
      <c r="E291" s="196">
        <f>'IX.B'!H18</f>
        <v>21</v>
      </c>
      <c r="F291" s="45"/>
      <c r="G291" s="46"/>
      <c r="H291" s="51"/>
    </row>
    <row r="292" spans="1:5" ht="15">
      <c r="A292" s="99">
        <v>291</v>
      </c>
      <c r="B292" s="204" t="s">
        <v>427</v>
      </c>
      <c r="C292" s="205" t="s">
        <v>24</v>
      </c>
      <c r="D292" s="203" t="s">
        <v>37</v>
      </c>
      <c r="E292" s="225">
        <f>'I.B'!H6</f>
        <v>20</v>
      </c>
    </row>
    <row r="293" spans="1:8" ht="15" customHeight="1">
      <c r="A293" s="99"/>
      <c r="B293" s="201" t="s">
        <v>216</v>
      </c>
      <c r="C293" s="202" t="s">
        <v>157</v>
      </c>
      <c r="D293" s="203" t="s">
        <v>299</v>
      </c>
      <c r="E293" s="196">
        <f>'VII.A'!H14</f>
        <v>20</v>
      </c>
      <c r="F293" s="45"/>
      <c r="G293" s="46"/>
      <c r="H293" s="51"/>
    </row>
    <row r="294" spans="1:8" ht="15" customHeight="1">
      <c r="A294" s="99"/>
      <c r="B294" s="201" t="s">
        <v>243</v>
      </c>
      <c r="C294" s="202" t="s">
        <v>33</v>
      </c>
      <c r="D294" s="203" t="s">
        <v>320</v>
      </c>
      <c r="E294" s="196">
        <f>'VII.B'!H24</f>
        <v>20</v>
      </c>
      <c r="F294" s="45"/>
      <c r="G294" s="46"/>
      <c r="H294" s="51"/>
    </row>
    <row r="295" spans="1:8" ht="15" customHeight="1">
      <c r="A295" s="99">
        <v>294</v>
      </c>
      <c r="B295" s="201" t="s">
        <v>62</v>
      </c>
      <c r="C295" s="202" t="s">
        <v>44</v>
      </c>
      <c r="D295" s="203" t="s">
        <v>353</v>
      </c>
      <c r="E295" s="196">
        <f>'III.B'!H16</f>
        <v>19</v>
      </c>
      <c r="F295" s="45"/>
      <c r="G295" s="46"/>
      <c r="H295" s="51"/>
    </row>
    <row r="296" spans="1:8" ht="15" customHeight="1">
      <c r="A296" s="99"/>
      <c r="B296" s="201" t="s">
        <v>214</v>
      </c>
      <c r="C296" s="202"/>
      <c r="D296" s="203" t="s">
        <v>299</v>
      </c>
      <c r="E296" s="196">
        <f>'VII.A'!H12</f>
        <v>19</v>
      </c>
      <c r="F296" s="45"/>
      <c r="G296" s="46"/>
      <c r="H296" s="51"/>
    </row>
    <row r="297" spans="1:5" ht="15" customHeight="1">
      <c r="A297" s="99"/>
      <c r="B297" s="201" t="s">
        <v>241</v>
      </c>
      <c r="C297" s="202" t="s">
        <v>242</v>
      </c>
      <c r="D297" s="203" t="s">
        <v>320</v>
      </c>
      <c r="E297" s="196">
        <f>'VII.B'!H22</f>
        <v>19</v>
      </c>
    </row>
    <row r="298" spans="1:8" ht="15" customHeight="1">
      <c r="A298" s="99">
        <v>297</v>
      </c>
      <c r="B298" s="201" t="s">
        <v>381</v>
      </c>
      <c r="C298" s="202" t="s">
        <v>44</v>
      </c>
      <c r="D298" s="203" t="s">
        <v>101</v>
      </c>
      <c r="E298" s="196">
        <f>'II.B'!H17</f>
        <v>18</v>
      </c>
      <c r="F298" s="45"/>
      <c r="G298" s="48"/>
      <c r="H298" s="51"/>
    </row>
    <row r="299" spans="1:5" ht="15" customHeight="1">
      <c r="A299" s="99"/>
      <c r="B299" s="201" t="s">
        <v>180</v>
      </c>
      <c r="C299" s="202" t="s">
        <v>24</v>
      </c>
      <c r="D299" s="203" t="s">
        <v>279</v>
      </c>
      <c r="E299" s="196">
        <f>'VI.B'!H6</f>
        <v>18</v>
      </c>
    </row>
    <row r="300" spans="1:5" ht="15" customHeight="1">
      <c r="A300" s="99"/>
      <c r="B300" s="201" t="s">
        <v>208</v>
      </c>
      <c r="C300" s="202" t="s">
        <v>121</v>
      </c>
      <c r="D300" s="203" t="s">
        <v>299</v>
      </c>
      <c r="E300" s="196">
        <f>'VII.A'!H7</f>
        <v>18</v>
      </c>
    </row>
    <row r="301" spans="1:8" ht="15" customHeight="1">
      <c r="A301" s="99">
        <v>300</v>
      </c>
      <c r="B301" s="201" t="s">
        <v>38</v>
      </c>
      <c r="C301" s="202" t="s">
        <v>424</v>
      </c>
      <c r="D301" s="203" t="s">
        <v>69</v>
      </c>
      <c r="E301" s="196">
        <f>'II.A'!H5</f>
        <v>17</v>
      </c>
      <c r="H301" s="50"/>
    </row>
    <row r="302" spans="1:8" ht="15" customHeight="1">
      <c r="A302" s="99"/>
      <c r="B302" s="201" t="s">
        <v>91</v>
      </c>
      <c r="C302" s="202" t="s">
        <v>41</v>
      </c>
      <c r="D302" s="203" t="s">
        <v>153</v>
      </c>
      <c r="E302" s="196">
        <f>'IV.A'!H18</f>
        <v>17</v>
      </c>
      <c r="F302" s="45"/>
      <c r="G302" s="45"/>
      <c r="H302" s="51"/>
    </row>
    <row r="303" spans="1:8" ht="15" customHeight="1">
      <c r="A303" s="99"/>
      <c r="B303" s="206" t="s">
        <v>328</v>
      </c>
      <c r="C303" s="207" t="s">
        <v>59</v>
      </c>
      <c r="D303" s="203" t="s">
        <v>349</v>
      </c>
      <c r="E303" s="196">
        <f>'IX.B'!H8</f>
        <v>17</v>
      </c>
      <c r="F303" s="45"/>
      <c r="G303" s="48"/>
      <c r="H303" s="51"/>
    </row>
    <row r="304" spans="1:9" ht="15" customHeight="1">
      <c r="A304" s="99">
        <v>303</v>
      </c>
      <c r="B304" s="201" t="s">
        <v>27</v>
      </c>
      <c r="C304" s="202" t="s">
        <v>28</v>
      </c>
      <c r="D304" s="203" t="s">
        <v>124</v>
      </c>
      <c r="E304" s="225">
        <f>'III.A'!H16</f>
        <v>16</v>
      </c>
      <c r="F304" s="45"/>
      <c r="G304" s="46"/>
      <c r="H304" s="51"/>
      <c r="I304" s="45"/>
    </row>
    <row r="305" spans="1:9" ht="15" customHeight="1">
      <c r="A305" s="99">
        <v>304</v>
      </c>
      <c r="B305" s="201" t="s">
        <v>29</v>
      </c>
      <c r="C305" s="202" t="s">
        <v>30</v>
      </c>
      <c r="D305" s="203" t="s">
        <v>124</v>
      </c>
      <c r="E305" s="225">
        <f>'III.A'!H18</f>
        <v>16</v>
      </c>
      <c r="F305" s="45"/>
      <c r="G305" s="46"/>
      <c r="H305" s="51"/>
      <c r="I305" s="45"/>
    </row>
    <row r="306" spans="1:5" ht="15" customHeight="1">
      <c r="A306" s="99">
        <v>305</v>
      </c>
      <c r="B306" s="201" t="s">
        <v>302</v>
      </c>
      <c r="C306" s="202" t="s">
        <v>110</v>
      </c>
      <c r="D306" s="203" t="s">
        <v>348</v>
      </c>
      <c r="E306" s="196">
        <f>'IX.A'!H5</f>
        <v>16</v>
      </c>
    </row>
    <row r="307" spans="1:8" ht="15" customHeight="1">
      <c r="A307" s="99"/>
      <c r="B307" s="228" t="s">
        <v>82</v>
      </c>
      <c r="C307" s="229" t="s">
        <v>31</v>
      </c>
      <c r="D307" s="203" t="s">
        <v>348</v>
      </c>
      <c r="E307" s="196">
        <f>'IX.A'!H10</f>
        <v>16</v>
      </c>
      <c r="F307" s="45"/>
      <c r="G307" s="46"/>
      <c r="H307" s="51"/>
    </row>
    <row r="308" spans="1:5" ht="15" customHeight="1">
      <c r="A308" s="99">
        <v>307</v>
      </c>
      <c r="B308" s="234" t="s">
        <v>422</v>
      </c>
      <c r="C308" s="235" t="s">
        <v>48</v>
      </c>
      <c r="D308" s="203" t="s">
        <v>0</v>
      </c>
      <c r="E308" s="224">
        <f>'I.A'!H22</f>
        <v>15</v>
      </c>
    </row>
    <row r="309" spans="1:8" ht="15" customHeight="1">
      <c r="A309" s="99"/>
      <c r="B309" s="230" t="s">
        <v>456</v>
      </c>
      <c r="C309" s="231" t="s">
        <v>116</v>
      </c>
      <c r="D309" s="203" t="s">
        <v>200</v>
      </c>
      <c r="E309" s="196">
        <f>'V.A'!H23</f>
        <v>15</v>
      </c>
      <c r="F309" s="45"/>
      <c r="G309" s="46"/>
      <c r="H309" s="51"/>
    </row>
    <row r="310" spans="1:5" ht="15" customHeight="1">
      <c r="A310" s="99"/>
      <c r="B310" s="232" t="s">
        <v>233</v>
      </c>
      <c r="C310" s="233" t="s">
        <v>118</v>
      </c>
      <c r="D310" s="203" t="s">
        <v>320</v>
      </c>
      <c r="E310" s="196">
        <f>'VII.B'!H13</f>
        <v>15</v>
      </c>
    </row>
    <row r="311" spans="1:8" ht="15" customHeight="1">
      <c r="A311" s="99">
        <v>310</v>
      </c>
      <c r="B311" s="230" t="s">
        <v>190</v>
      </c>
      <c r="C311" s="231" t="s">
        <v>97</v>
      </c>
      <c r="D311" s="203" t="s">
        <v>248</v>
      </c>
      <c r="E311" s="196">
        <f>'VI.A'!H11</f>
        <v>14</v>
      </c>
      <c r="F311" s="45"/>
      <c r="G311" s="46"/>
      <c r="H311" s="51"/>
    </row>
    <row r="312" spans="1:8" ht="15" customHeight="1">
      <c r="A312" s="99"/>
      <c r="B312" s="230" t="s">
        <v>195</v>
      </c>
      <c r="C312" s="231" t="s">
        <v>24</v>
      </c>
      <c r="D312" s="203" t="s">
        <v>248</v>
      </c>
      <c r="E312" s="196">
        <f>'VI.A'!H16</f>
        <v>14</v>
      </c>
      <c r="F312" s="45"/>
      <c r="G312" s="45"/>
      <c r="H312" s="51"/>
    </row>
    <row r="313" spans="1:8" ht="15" customHeight="1">
      <c r="A313" s="99"/>
      <c r="B313" s="230" t="s">
        <v>337</v>
      </c>
      <c r="C313" s="231" t="s">
        <v>338</v>
      </c>
      <c r="D313" s="203" t="s">
        <v>349</v>
      </c>
      <c r="E313" s="196">
        <f>'IX.B'!H16</f>
        <v>14</v>
      </c>
      <c r="F313" s="45"/>
      <c r="G313" s="46"/>
      <c r="H313" s="51"/>
    </row>
    <row r="314" spans="1:9" ht="15" customHeight="1">
      <c r="A314" s="99">
        <v>313</v>
      </c>
      <c r="B314" s="234" t="s">
        <v>436</v>
      </c>
      <c r="C314" s="235" t="s">
        <v>97</v>
      </c>
      <c r="D314" s="203" t="s">
        <v>37</v>
      </c>
      <c r="E314" s="225">
        <f>'I.B'!H18</f>
        <v>13</v>
      </c>
      <c r="F314" s="45"/>
      <c r="G314" s="46"/>
      <c r="H314" s="51"/>
      <c r="I314" s="45"/>
    </row>
    <row r="315" spans="1:8" ht="15" customHeight="1">
      <c r="A315" s="99"/>
      <c r="B315" s="232" t="s">
        <v>397</v>
      </c>
      <c r="C315" s="233" t="s">
        <v>362</v>
      </c>
      <c r="D315" s="203" t="s">
        <v>101</v>
      </c>
      <c r="E315" s="196">
        <f>'II.B'!H15</f>
        <v>13</v>
      </c>
      <c r="F315" s="45"/>
      <c r="G315" s="46"/>
      <c r="H315" s="51"/>
    </row>
    <row r="316" spans="1:5" ht="15" customHeight="1">
      <c r="A316" s="99"/>
      <c r="B316" s="232" t="s">
        <v>443</v>
      </c>
      <c r="C316" s="233" t="s">
        <v>21</v>
      </c>
      <c r="D316" s="203" t="s">
        <v>124</v>
      </c>
      <c r="E316" s="225">
        <f>'III.A'!H17</f>
        <v>13</v>
      </c>
    </row>
    <row r="317" spans="1:8" ht="15" customHeight="1">
      <c r="A317" s="99"/>
      <c r="B317" s="230" t="s">
        <v>115</v>
      </c>
      <c r="C317" s="231" t="s">
        <v>268</v>
      </c>
      <c r="D317" s="203" t="s">
        <v>345</v>
      </c>
      <c r="E317" s="196">
        <f>'VIII.A'!H16</f>
        <v>13</v>
      </c>
      <c r="F317" s="45"/>
      <c r="G317" s="48"/>
      <c r="H317" s="51"/>
    </row>
    <row r="318" spans="1:5" ht="15" customHeight="1">
      <c r="A318" s="99">
        <v>317</v>
      </c>
      <c r="B318" s="232" t="s">
        <v>84</v>
      </c>
      <c r="C318" s="233" t="s">
        <v>85</v>
      </c>
      <c r="D318" s="203" t="s">
        <v>153</v>
      </c>
      <c r="E318" s="196">
        <f>'IV.A'!H14</f>
        <v>12</v>
      </c>
    </row>
    <row r="319" spans="1:8" ht="15" customHeight="1">
      <c r="A319" s="99"/>
      <c r="B319" s="230" t="s">
        <v>261</v>
      </c>
      <c r="C319" s="231" t="s">
        <v>19</v>
      </c>
      <c r="D319" s="203" t="s">
        <v>345</v>
      </c>
      <c r="E319" s="196">
        <f>'VIII.A'!H11</f>
        <v>12</v>
      </c>
      <c r="H319" s="50"/>
    </row>
    <row r="320" spans="1:8" ht="15" customHeight="1">
      <c r="A320" s="99"/>
      <c r="B320" s="230" t="s">
        <v>292</v>
      </c>
      <c r="C320" s="231" t="s">
        <v>121</v>
      </c>
      <c r="D320" s="203" t="s">
        <v>346</v>
      </c>
      <c r="E320" s="196">
        <f>'VIII.B'!H13</f>
        <v>12</v>
      </c>
      <c r="F320" s="45"/>
      <c r="G320" s="48"/>
      <c r="H320" s="51"/>
    </row>
    <row r="321" spans="1:8" ht="15">
      <c r="A321" s="99"/>
      <c r="B321" s="232" t="s">
        <v>305</v>
      </c>
      <c r="C321" s="233" t="s">
        <v>31</v>
      </c>
      <c r="D321" s="203" t="s">
        <v>348</v>
      </c>
      <c r="E321" s="196">
        <f>'IX.A'!H9</f>
        <v>12</v>
      </c>
      <c r="F321" s="45"/>
      <c r="G321" s="46"/>
      <c r="H321" s="51"/>
    </row>
    <row r="322" spans="1:8" ht="15" customHeight="1">
      <c r="A322" s="99">
        <v>321</v>
      </c>
      <c r="B322" s="234" t="s">
        <v>432</v>
      </c>
      <c r="C322" s="235" t="s">
        <v>4</v>
      </c>
      <c r="D322" s="203" t="s">
        <v>37</v>
      </c>
      <c r="E322" s="225">
        <f>'I.B'!H14</f>
        <v>11</v>
      </c>
      <c r="F322" s="45"/>
      <c r="G322" s="46"/>
      <c r="H322" s="51"/>
    </row>
    <row r="323" spans="1:8" ht="15" customHeight="1">
      <c r="A323" s="99"/>
      <c r="B323" s="232" t="s">
        <v>222</v>
      </c>
      <c r="C323" s="233" t="s">
        <v>85</v>
      </c>
      <c r="D323" s="203" t="s">
        <v>320</v>
      </c>
      <c r="E323" s="196">
        <f>'VII.B'!H2</f>
        <v>11</v>
      </c>
      <c r="H323" s="50"/>
    </row>
    <row r="324" spans="1:8" ht="15" customHeight="1">
      <c r="A324" s="99">
        <v>323</v>
      </c>
      <c r="B324" s="232" t="s">
        <v>8</v>
      </c>
      <c r="C324" s="233" t="s">
        <v>9</v>
      </c>
      <c r="D324" s="203" t="s">
        <v>124</v>
      </c>
      <c r="E324" s="225">
        <f>'III.A'!H5</f>
        <v>10</v>
      </c>
      <c r="H324" s="50"/>
    </row>
    <row r="325" spans="1:8" ht="15" customHeight="1">
      <c r="A325" s="99"/>
      <c r="B325" s="230" t="s">
        <v>130</v>
      </c>
      <c r="C325" s="231" t="s">
        <v>50</v>
      </c>
      <c r="D325" s="203" t="s">
        <v>345</v>
      </c>
      <c r="E325" s="196">
        <f>'VIII.A'!H7</f>
        <v>10</v>
      </c>
      <c r="F325" s="45"/>
      <c r="G325" s="48"/>
      <c r="H325" s="51"/>
    </row>
    <row r="326" spans="1:8" ht="15" customHeight="1">
      <c r="A326" s="99"/>
      <c r="B326" s="230" t="s">
        <v>278</v>
      </c>
      <c r="C326" s="231" t="s">
        <v>97</v>
      </c>
      <c r="D326" s="203" t="s">
        <v>345</v>
      </c>
      <c r="E326" s="196">
        <f>'VIII.A'!H27</f>
        <v>10</v>
      </c>
      <c r="F326" s="45"/>
      <c r="G326" s="46"/>
      <c r="H326" s="51"/>
    </row>
    <row r="327" spans="1:8" ht="15" customHeight="1">
      <c r="A327" s="99">
        <v>326</v>
      </c>
      <c r="B327" s="232" t="s">
        <v>387</v>
      </c>
      <c r="C327" s="233" t="s">
        <v>388</v>
      </c>
      <c r="D327" s="203" t="s">
        <v>124</v>
      </c>
      <c r="E327" s="225">
        <f>'III.A'!H13</f>
        <v>9</v>
      </c>
      <c r="H327" s="50"/>
    </row>
    <row r="328" spans="1:8" ht="15" customHeight="1">
      <c r="A328" s="99"/>
      <c r="B328" s="236" t="s">
        <v>92</v>
      </c>
      <c r="C328" s="237" t="s">
        <v>66</v>
      </c>
      <c r="D328" s="203" t="s">
        <v>153</v>
      </c>
      <c r="E328" s="196">
        <f>'IV.A'!H19</f>
        <v>9</v>
      </c>
      <c r="F328" s="45"/>
      <c r="G328" s="46"/>
      <c r="H328" s="51"/>
    </row>
    <row r="329" spans="1:5" ht="15" customHeight="1">
      <c r="A329" s="99"/>
      <c r="B329" s="209" t="s">
        <v>185</v>
      </c>
      <c r="C329" s="220" t="s">
        <v>41</v>
      </c>
      <c r="D329" s="203" t="s">
        <v>248</v>
      </c>
      <c r="E329" s="196">
        <f>'VI.A'!H6</f>
        <v>9</v>
      </c>
    </row>
    <row r="330" spans="1:5" ht="15" customHeight="1">
      <c r="A330" s="99"/>
      <c r="B330" s="201" t="s">
        <v>311</v>
      </c>
      <c r="C330" s="202" t="s">
        <v>31</v>
      </c>
      <c r="D330" s="203" t="s">
        <v>348</v>
      </c>
      <c r="E330" s="196">
        <f>'IX.A'!H17</f>
        <v>9</v>
      </c>
    </row>
    <row r="331" spans="1:8" ht="15">
      <c r="A331" s="99">
        <v>330</v>
      </c>
      <c r="B331" s="204" t="s">
        <v>92</v>
      </c>
      <c r="C331" s="205" t="s">
        <v>41</v>
      </c>
      <c r="D331" s="203" t="s">
        <v>37</v>
      </c>
      <c r="E331" s="225">
        <f>'I.B'!H13</f>
        <v>8</v>
      </c>
      <c r="F331" s="45"/>
      <c r="G331" s="46"/>
      <c r="H331" s="51"/>
    </row>
    <row r="332" spans="1:8" ht="15" customHeight="1">
      <c r="A332" s="99"/>
      <c r="B332" s="201" t="s">
        <v>239</v>
      </c>
      <c r="C332" s="202" t="s">
        <v>59</v>
      </c>
      <c r="D332" s="203" t="s">
        <v>320</v>
      </c>
      <c r="E332" s="196">
        <f>'VII.B'!H20</f>
        <v>8</v>
      </c>
      <c r="F332" s="45"/>
      <c r="G332" s="46"/>
      <c r="H332" s="51"/>
    </row>
    <row r="333" spans="1:5" ht="15" customHeight="1">
      <c r="A333" s="99"/>
      <c r="B333" s="206" t="s">
        <v>249</v>
      </c>
      <c r="C333" s="207" t="s">
        <v>41</v>
      </c>
      <c r="D333" s="203" t="s">
        <v>345</v>
      </c>
      <c r="E333" s="196">
        <f>'VIII.A'!H2</f>
        <v>8</v>
      </c>
    </row>
    <row r="334" spans="1:5" ht="15" customHeight="1">
      <c r="A334" s="99"/>
      <c r="B334" s="206" t="s">
        <v>344</v>
      </c>
      <c r="C334" s="207" t="s">
        <v>59</v>
      </c>
      <c r="D334" s="203" t="s">
        <v>349</v>
      </c>
      <c r="E334" s="196">
        <f>'IX.B'!H23</f>
        <v>8</v>
      </c>
    </row>
    <row r="335" spans="1:8" ht="15" customHeight="1">
      <c r="A335" s="99">
        <v>334</v>
      </c>
      <c r="B335" s="201" t="s">
        <v>318</v>
      </c>
      <c r="C335" s="202" t="s">
        <v>319</v>
      </c>
      <c r="D335" s="203" t="s">
        <v>348</v>
      </c>
      <c r="E335" s="196">
        <f>'IX.A'!H23</f>
        <v>7</v>
      </c>
      <c r="F335" s="45"/>
      <c r="G335" s="46"/>
      <c r="H335" s="51"/>
    </row>
    <row r="336" spans="1:5" ht="15" customHeight="1">
      <c r="A336" s="99">
        <v>335</v>
      </c>
      <c r="B336" s="201" t="s">
        <v>240</v>
      </c>
      <c r="C336" s="202" t="s">
        <v>70</v>
      </c>
      <c r="D336" s="203" t="s">
        <v>320</v>
      </c>
      <c r="E336" s="196">
        <f>'VII.B'!H21</f>
        <v>6</v>
      </c>
    </row>
    <row r="337" spans="1:8" ht="15" customHeight="1">
      <c r="A337" s="99"/>
      <c r="B337" s="206" t="s">
        <v>269</v>
      </c>
      <c r="C337" s="207" t="s">
        <v>270</v>
      </c>
      <c r="D337" s="203" t="s">
        <v>345</v>
      </c>
      <c r="E337" s="196">
        <f>'VIII.A'!H17</f>
        <v>6</v>
      </c>
      <c r="F337" s="45"/>
      <c r="G337" s="46"/>
      <c r="H337" s="51"/>
    </row>
    <row r="338" spans="1:8" ht="15" customHeight="1">
      <c r="A338" s="99"/>
      <c r="B338" s="206" t="s">
        <v>334</v>
      </c>
      <c r="C338" s="207" t="s">
        <v>335</v>
      </c>
      <c r="D338" s="203" t="s">
        <v>349</v>
      </c>
      <c r="E338" s="196">
        <f>'IX.B'!H14</f>
        <v>6</v>
      </c>
      <c r="F338" s="45"/>
      <c r="G338" s="46"/>
      <c r="H338" s="51"/>
    </row>
    <row r="339" spans="1:5" ht="15" customHeight="1">
      <c r="A339" s="99">
        <v>338</v>
      </c>
      <c r="B339" s="201" t="s">
        <v>18</v>
      </c>
      <c r="C339" s="202" t="s">
        <v>19</v>
      </c>
      <c r="D339" s="203" t="s">
        <v>124</v>
      </c>
      <c r="E339" s="225">
        <f>'III.A'!H10</f>
        <v>5</v>
      </c>
    </row>
    <row r="340" spans="1:8" ht="15">
      <c r="A340" s="99"/>
      <c r="B340" s="201" t="s">
        <v>189</v>
      </c>
      <c r="C340" s="202" t="s">
        <v>19</v>
      </c>
      <c r="D340" s="203" t="s">
        <v>279</v>
      </c>
      <c r="E340" s="196">
        <f>'VI.B'!H17</f>
        <v>5</v>
      </c>
      <c r="F340" s="45"/>
      <c r="G340" s="45"/>
      <c r="H340" s="51"/>
    </row>
    <row r="341" spans="1:5" ht="15">
      <c r="A341" s="99"/>
      <c r="B341" s="240" t="s">
        <v>173</v>
      </c>
      <c r="C341" s="207" t="s">
        <v>64</v>
      </c>
      <c r="D341" s="203" t="s">
        <v>345</v>
      </c>
      <c r="E341" s="196">
        <f>'VIII.A'!H21</f>
        <v>5</v>
      </c>
    </row>
    <row r="342" spans="1:5" ht="15">
      <c r="A342" s="99"/>
      <c r="B342" s="206" t="s">
        <v>276</v>
      </c>
      <c r="C342" s="207" t="s">
        <v>116</v>
      </c>
      <c r="D342" s="203" t="s">
        <v>345</v>
      </c>
      <c r="E342" s="196">
        <f>'VIII.A'!H25</f>
        <v>5</v>
      </c>
    </row>
    <row r="343" spans="1:5" ht="15" customHeight="1">
      <c r="A343" s="99">
        <v>342</v>
      </c>
      <c r="B343" s="201" t="s">
        <v>98</v>
      </c>
      <c r="C343" s="202" t="s">
        <v>99</v>
      </c>
      <c r="D343" s="203" t="s">
        <v>153</v>
      </c>
      <c r="E343" s="196">
        <f>'IV.A'!H23</f>
        <v>4</v>
      </c>
    </row>
    <row r="344" spans="1:5" ht="15" customHeight="1">
      <c r="A344" s="99"/>
      <c r="B344" s="206" t="s">
        <v>264</v>
      </c>
      <c r="C344" s="207" t="s">
        <v>265</v>
      </c>
      <c r="D344" s="203" t="s">
        <v>345</v>
      </c>
      <c r="E344" s="196">
        <f>'VIII.A'!H13</f>
        <v>4</v>
      </c>
    </row>
    <row r="345" spans="1:5" ht="15" customHeight="1">
      <c r="A345" s="99"/>
      <c r="B345" s="206" t="s">
        <v>282</v>
      </c>
      <c r="C345" s="207" t="s">
        <v>64</v>
      </c>
      <c r="D345" s="203" t="s">
        <v>346</v>
      </c>
      <c r="E345" s="196">
        <f>'VIII.B'!H4</f>
        <v>4</v>
      </c>
    </row>
    <row r="346" spans="1:5" ht="15" customHeight="1">
      <c r="A346" s="99">
        <v>345</v>
      </c>
      <c r="B346" s="201" t="s">
        <v>221</v>
      </c>
      <c r="C346" s="202" t="s">
        <v>33</v>
      </c>
      <c r="D346" s="203" t="s">
        <v>299</v>
      </c>
      <c r="E346" s="196">
        <f>'VII.A'!H21</f>
        <v>3</v>
      </c>
    </row>
    <row r="347" spans="1:8" ht="15" customHeight="1">
      <c r="A347" s="99"/>
      <c r="B347" s="201" t="s">
        <v>312</v>
      </c>
      <c r="C347" s="202" t="s">
        <v>313</v>
      </c>
      <c r="D347" s="203" t="s">
        <v>348</v>
      </c>
      <c r="E347" s="196">
        <f>'IX.A'!H19</f>
        <v>3</v>
      </c>
      <c r="F347" s="45"/>
      <c r="G347" s="46"/>
      <c r="H347" s="51"/>
    </row>
    <row r="348" spans="1:5" ht="15" customHeight="1">
      <c r="A348" s="99">
        <v>347</v>
      </c>
      <c r="B348" s="201" t="s">
        <v>372</v>
      </c>
      <c r="C348" s="202" t="s">
        <v>24</v>
      </c>
      <c r="D348" s="203" t="s">
        <v>101</v>
      </c>
      <c r="E348" s="196">
        <f>'II.B'!H4</f>
        <v>2</v>
      </c>
    </row>
    <row r="349" spans="1:9" ht="15">
      <c r="A349" s="99">
        <v>348</v>
      </c>
      <c r="B349" s="204" t="s">
        <v>428</v>
      </c>
      <c r="C349" s="205" t="s">
        <v>121</v>
      </c>
      <c r="D349" s="203" t="s">
        <v>37</v>
      </c>
      <c r="E349" s="225">
        <f>'I.B'!H8</f>
        <v>1.5</v>
      </c>
      <c r="F349" s="45"/>
      <c r="G349" s="46"/>
      <c r="H349" s="51"/>
      <c r="I349" s="45"/>
    </row>
    <row r="350" spans="1:8" ht="15" customHeight="1">
      <c r="A350" s="99">
        <v>349</v>
      </c>
      <c r="B350" s="206" t="s">
        <v>105</v>
      </c>
      <c r="C350" s="207" t="s">
        <v>70</v>
      </c>
      <c r="D350" s="203" t="s">
        <v>402</v>
      </c>
      <c r="E350" s="196">
        <f>'IV.B'!H5</f>
        <v>1</v>
      </c>
      <c r="F350" s="45"/>
      <c r="G350" s="46"/>
      <c r="H350" s="51"/>
    </row>
    <row r="351" spans="1:9" ht="15" customHeight="1">
      <c r="A351" s="99"/>
      <c r="B351" s="201" t="s">
        <v>395</v>
      </c>
      <c r="C351" s="202" t="s">
        <v>80</v>
      </c>
      <c r="D351" s="203" t="s">
        <v>320</v>
      </c>
      <c r="E351" s="196">
        <f>'VII.B'!H23</f>
        <v>1</v>
      </c>
      <c r="F351" s="45"/>
      <c r="G351" s="46"/>
      <c r="H351" s="51"/>
      <c r="I351" s="45"/>
    </row>
    <row r="352" spans="1:8" ht="15" customHeight="1">
      <c r="A352" s="99">
        <v>351</v>
      </c>
      <c r="B352" s="241" t="s">
        <v>457</v>
      </c>
      <c r="C352" s="242" t="s">
        <v>4</v>
      </c>
      <c r="D352" s="203" t="s">
        <v>0</v>
      </c>
      <c r="E352" s="224">
        <v>0</v>
      </c>
      <c r="F352" s="45"/>
      <c r="G352" s="45"/>
      <c r="H352" s="51"/>
    </row>
    <row r="353" spans="1:8" ht="15" customHeight="1">
      <c r="A353" s="99"/>
      <c r="B353" s="204" t="s">
        <v>412</v>
      </c>
      <c r="C353" s="205" t="s">
        <v>95</v>
      </c>
      <c r="D353" s="203" t="s">
        <v>0</v>
      </c>
      <c r="E353" s="224">
        <v>0</v>
      </c>
      <c r="F353" s="45"/>
      <c r="G353" s="46"/>
      <c r="H353" s="51"/>
    </row>
    <row r="354" spans="1:8" ht="15" customHeight="1">
      <c r="A354" s="99"/>
      <c r="B354" s="204" t="s">
        <v>417</v>
      </c>
      <c r="C354" s="205" t="s">
        <v>6</v>
      </c>
      <c r="D354" s="203" t="s">
        <v>0</v>
      </c>
      <c r="E354" s="224">
        <v>0</v>
      </c>
      <c r="H354" s="50"/>
    </row>
    <row r="355" spans="1:5" ht="15" customHeight="1">
      <c r="A355" s="99"/>
      <c r="B355" s="204" t="s">
        <v>273</v>
      </c>
      <c r="C355" s="205" t="s">
        <v>24</v>
      </c>
      <c r="D355" s="203" t="s">
        <v>0</v>
      </c>
      <c r="E355" s="224">
        <v>0</v>
      </c>
    </row>
    <row r="356" spans="1:5" ht="15" customHeight="1">
      <c r="A356" s="99"/>
      <c r="B356" s="204" t="s">
        <v>418</v>
      </c>
      <c r="C356" s="205" t="s">
        <v>135</v>
      </c>
      <c r="D356" s="203" t="s">
        <v>0</v>
      </c>
      <c r="E356" s="224">
        <v>0</v>
      </c>
    </row>
    <row r="357" spans="1:8" ht="15" customHeight="1">
      <c r="A357" s="99"/>
      <c r="B357" s="204" t="s">
        <v>419</v>
      </c>
      <c r="C357" s="205" t="s">
        <v>48</v>
      </c>
      <c r="D357" s="203" t="s">
        <v>0</v>
      </c>
      <c r="E357" s="224">
        <v>0</v>
      </c>
      <c r="F357" s="45"/>
      <c r="G357" s="46"/>
      <c r="H357" s="51"/>
    </row>
    <row r="358" spans="1:5" ht="15" customHeight="1">
      <c r="A358" s="99"/>
      <c r="B358" s="204" t="s">
        <v>454</v>
      </c>
      <c r="C358" s="205" t="s">
        <v>455</v>
      </c>
      <c r="D358" s="203" t="s">
        <v>37</v>
      </c>
      <c r="E358" s="225">
        <f>'I.B'!H12</f>
        <v>0</v>
      </c>
    </row>
    <row r="359" spans="1:5" ht="15" customHeight="1">
      <c r="A359" s="99"/>
      <c r="B359" s="201" t="s">
        <v>449</v>
      </c>
      <c r="C359" s="202" t="s">
        <v>21</v>
      </c>
      <c r="D359" s="203" t="s">
        <v>353</v>
      </c>
      <c r="E359" s="196">
        <f>'III.B'!H21</f>
        <v>0</v>
      </c>
    </row>
    <row r="360" spans="1:5" ht="15" customHeight="1">
      <c r="A360" s="99"/>
      <c r="B360" s="201" t="s">
        <v>86</v>
      </c>
      <c r="C360" s="202" t="s">
        <v>31</v>
      </c>
      <c r="D360" s="203" t="s">
        <v>153</v>
      </c>
      <c r="E360" s="196">
        <f>'IV.A'!H15</f>
        <v>0</v>
      </c>
    </row>
    <row r="361" spans="1:5" ht="15" customHeight="1">
      <c r="A361" s="99"/>
      <c r="B361" s="206" t="s">
        <v>107</v>
      </c>
      <c r="C361" s="207" t="s">
        <v>55</v>
      </c>
      <c r="D361" s="203" t="s">
        <v>402</v>
      </c>
      <c r="E361" s="196">
        <f>'IV.B'!H7</f>
        <v>0</v>
      </c>
    </row>
    <row r="362" spans="1:5" ht="15" customHeight="1">
      <c r="A362" s="99"/>
      <c r="B362" s="206" t="s">
        <v>119</v>
      </c>
      <c r="C362" s="207" t="s">
        <v>70</v>
      </c>
      <c r="D362" s="203" t="s">
        <v>402</v>
      </c>
      <c r="E362" s="196">
        <f>'IV.B'!H19</f>
        <v>0</v>
      </c>
    </row>
    <row r="363" spans="1:9" ht="15" customHeight="1">
      <c r="A363" s="99"/>
      <c r="B363" s="206" t="s">
        <v>130</v>
      </c>
      <c r="C363" s="207" t="s">
        <v>4</v>
      </c>
      <c r="D363" s="203" t="s">
        <v>200</v>
      </c>
      <c r="E363" s="196">
        <f>'V.A'!H8</f>
        <v>0</v>
      </c>
      <c r="F363" s="45"/>
      <c r="G363" s="46"/>
      <c r="H363" s="51"/>
      <c r="I363" s="45"/>
    </row>
    <row r="364" spans="1:5" ht="15" customHeight="1">
      <c r="A364" s="99"/>
      <c r="B364" s="206" t="s">
        <v>184</v>
      </c>
      <c r="C364" s="207" t="s">
        <v>150</v>
      </c>
      <c r="D364" s="203" t="s">
        <v>248</v>
      </c>
      <c r="E364" s="196">
        <f>'VI.A'!H4</f>
        <v>0</v>
      </c>
    </row>
    <row r="365" spans="1:8" ht="15" customHeight="1">
      <c r="A365" s="99"/>
      <c r="B365" s="206" t="s">
        <v>186</v>
      </c>
      <c r="C365" s="207" t="s">
        <v>95</v>
      </c>
      <c r="D365" s="203" t="s">
        <v>248</v>
      </c>
      <c r="E365" s="196">
        <f>'VI.A'!H7</f>
        <v>0</v>
      </c>
      <c r="F365" s="45"/>
      <c r="G365" s="46"/>
      <c r="H365" s="51"/>
    </row>
    <row r="366" spans="1:8" ht="15" customHeight="1">
      <c r="A366" s="99"/>
      <c r="B366" s="201" t="s">
        <v>273</v>
      </c>
      <c r="C366" s="202" t="s">
        <v>9</v>
      </c>
      <c r="D366" s="203" t="s">
        <v>299</v>
      </c>
      <c r="E366" s="196">
        <f>'VII.A'!H17</f>
        <v>0</v>
      </c>
      <c r="F366" s="45"/>
      <c r="G366" s="46"/>
      <c r="H366" s="51"/>
    </row>
    <row r="367" spans="1:9" ht="15" customHeight="1">
      <c r="A367" s="99"/>
      <c r="B367" s="206" t="s">
        <v>314</v>
      </c>
      <c r="C367" s="207" t="s">
        <v>31</v>
      </c>
      <c r="D367" s="203" t="s">
        <v>345</v>
      </c>
      <c r="E367" s="196">
        <f>'VIII.A'!H20</f>
        <v>0</v>
      </c>
      <c r="F367" s="45"/>
      <c r="G367" s="46"/>
      <c r="H367" s="51"/>
      <c r="I367" s="45"/>
    </row>
    <row r="368" spans="1:8" ht="15" customHeight="1">
      <c r="A368" s="99"/>
      <c r="B368" s="206" t="s">
        <v>287</v>
      </c>
      <c r="C368" s="207" t="s">
        <v>285</v>
      </c>
      <c r="D368" s="203" t="s">
        <v>346</v>
      </c>
      <c r="E368" s="196">
        <f>'VIII.B'!H8</f>
        <v>0</v>
      </c>
      <c r="F368" s="45"/>
      <c r="G368" s="46"/>
      <c r="H368" s="51"/>
    </row>
    <row r="369" spans="1:8" ht="15" customHeight="1">
      <c r="A369" s="99"/>
      <c r="B369" s="206" t="s">
        <v>288</v>
      </c>
      <c r="C369" s="207" t="s">
        <v>70</v>
      </c>
      <c r="D369" s="203" t="s">
        <v>346</v>
      </c>
      <c r="E369" s="196">
        <f>'VIII.B'!H9</f>
        <v>0</v>
      </c>
      <c r="F369" s="45"/>
      <c r="G369" s="46"/>
      <c r="H369" s="51"/>
    </row>
    <row r="370" spans="1:8" ht="15" customHeight="1">
      <c r="A370" s="99"/>
      <c r="B370" s="206" t="s">
        <v>290</v>
      </c>
      <c r="C370" s="207" t="s">
        <v>118</v>
      </c>
      <c r="D370" s="203" t="s">
        <v>346</v>
      </c>
      <c r="E370" s="196">
        <f>'VIII.B'!H11</f>
        <v>0</v>
      </c>
      <c r="H370" s="50"/>
    </row>
    <row r="371" spans="1:8" ht="15" customHeight="1">
      <c r="A371" s="99"/>
      <c r="B371" s="206" t="s">
        <v>238</v>
      </c>
      <c r="C371" s="207" t="s">
        <v>4</v>
      </c>
      <c r="D371" s="203" t="s">
        <v>346</v>
      </c>
      <c r="E371" s="196">
        <f>'VIII.B'!H14</f>
        <v>0</v>
      </c>
      <c r="H371" s="50"/>
    </row>
    <row r="372" spans="1:8" ht="15" customHeight="1" thickBot="1">
      <c r="A372" s="100"/>
      <c r="B372" s="217" t="s">
        <v>315</v>
      </c>
      <c r="C372" s="218" t="s">
        <v>4</v>
      </c>
      <c r="D372" s="219" t="s">
        <v>348</v>
      </c>
      <c r="E372" s="195">
        <f>'IX.A'!H20</f>
        <v>0</v>
      </c>
      <c r="F372" s="45"/>
      <c r="G372" s="48"/>
      <c r="H372" s="51"/>
    </row>
    <row r="373" ht="15">
      <c r="E373" s="157"/>
    </row>
    <row r="374" ht="15">
      <c r="E374" s="21"/>
    </row>
  </sheetData>
  <printOptions/>
  <pageMargins left="0.75" right="0.75" top="1" bottom="1" header="0.4921259845" footer="0.4921259845"/>
  <pageSetup horizontalDpi="300" verticalDpi="300" orientation="portrait" paperSize="9" scale="92" r:id="rId1"/>
  <headerFooter alignWithMargins="0">
    <oddHeader>&amp;L&amp;"Arial,Tučné"&amp;16Sběr 2008-2009&amp;C&amp;"Arial,Tučné"&amp;14Celkové pořadí jednotlivců&amp;R&amp;"Arial,Tučné"&amp;16ZŠ Vrchlického</oddHeader>
  </headerFooter>
  <rowBreaks count="7" manualBreakCount="7">
    <brk id="51" max="255" man="1"/>
    <brk id="101" max="255" man="1"/>
    <brk id="152" max="255" man="1"/>
    <brk id="202" max="255" man="1"/>
    <brk id="251" max="255" man="1"/>
    <brk id="300" max="255" man="1"/>
    <brk id="3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3"/>
  <sheetViews>
    <sheetView workbookViewId="0" topLeftCell="A1">
      <selection activeCell="K12" sqref="K12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151" t="s">
        <v>37</v>
      </c>
      <c r="B1" s="5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7">
        <v>1</v>
      </c>
      <c r="B2" s="52" t="s">
        <v>38</v>
      </c>
      <c r="C2" s="53" t="s">
        <v>127</v>
      </c>
      <c r="D2" s="133">
        <v>5</v>
      </c>
      <c r="E2" s="40">
        <v>10</v>
      </c>
      <c r="F2" s="40">
        <v>19</v>
      </c>
      <c r="G2" s="163">
        <v>15</v>
      </c>
      <c r="H2" s="145">
        <f aca="true" t="shared" si="0" ref="H2:H21">SUM(D2:G2)</f>
        <v>49</v>
      </c>
    </row>
    <row r="3" spans="1:8" ht="19.5" customHeight="1">
      <c r="A3" s="8"/>
      <c r="B3" s="152" t="s">
        <v>423</v>
      </c>
      <c r="C3" s="153" t="s">
        <v>424</v>
      </c>
      <c r="D3" s="134">
        <v>9</v>
      </c>
      <c r="E3" s="154">
        <v>13</v>
      </c>
      <c r="F3" s="32" t="s">
        <v>459</v>
      </c>
      <c r="G3" s="162" t="s">
        <v>459</v>
      </c>
      <c r="H3" s="146">
        <f t="shared" si="0"/>
        <v>22</v>
      </c>
    </row>
    <row r="4" spans="1:8" ht="19.5" customHeight="1">
      <c r="A4" s="8">
        <v>2</v>
      </c>
      <c r="B4" s="54" t="s">
        <v>425</v>
      </c>
      <c r="C4" s="55" t="s">
        <v>9</v>
      </c>
      <c r="D4" s="134">
        <v>15</v>
      </c>
      <c r="E4" s="32">
        <v>27</v>
      </c>
      <c r="F4" s="32">
        <v>17</v>
      </c>
      <c r="G4" s="162">
        <v>10</v>
      </c>
      <c r="H4" s="146">
        <f t="shared" si="0"/>
        <v>69</v>
      </c>
    </row>
    <row r="5" spans="1:8" ht="19.5" customHeight="1">
      <c r="A5" s="8">
        <v>3</v>
      </c>
      <c r="B5" s="54" t="s">
        <v>426</v>
      </c>
      <c r="C5" s="55" t="s">
        <v>212</v>
      </c>
      <c r="D5" s="134">
        <v>23</v>
      </c>
      <c r="E5" s="32">
        <v>19</v>
      </c>
      <c r="F5" s="32">
        <v>10</v>
      </c>
      <c r="G5" s="162">
        <v>22</v>
      </c>
      <c r="H5" s="146">
        <f t="shared" si="0"/>
        <v>74</v>
      </c>
    </row>
    <row r="6" spans="1:8" ht="19.5" customHeight="1">
      <c r="A6" s="8">
        <v>4</v>
      </c>
      <c r="B6" s="54" t="s">
        <v>427</v>
      </c>
      <c r="C6" s="55" t="s">
        <v>24</v>
      </c>
      <c r="D6" s="134">
        <v>5</v>
      </c>
      <c r="E6" s="32">
        <v>0</v>
      </c>
      <c r="F6" s="32">
        <v>10</v>
      </c>
      <c r="G6" s="162">
        <v>5</v>
      </c>
      <c r="H6" s="146">
        <f t="shared" si="0"/>
        <v>20</v>
      </c>
    </row>
    <row r="7" spans="1:8" ht="19.5" customHeight="1">
      <c r="A7" s="8">
        <v>5</v>
      </c>
      <c r="B7" s="54" t="s">
        <v>133</v>
      </c>
      <c r="C7" s="55" t="s">
        <v>50</v>
      </c>
      <c r="D7" s="134">
        <v>100</v>
      </c>
      <c r="E7" s="32">
        <v>240</v>
      </c>
      <c r="F7" s="155">
        <f>50+160</f>
        <v>210</v>
      </c>
      <c r="G7" s="164">
        <v>80</v>
      </c>
      <c r="H7" s="146">
        <f t="shared" si="0"/>
        <v>630</v>
      </c>
    </row>
    <row r="8" spans="1:8" ht="19.5" customHeight="1">
      <c r="A8" s="8">
        <v>6</v>
      </c>
      <c r="B8" s="54" t="s">
        <v>428</v>
      </c>
      <c r="C8" s="55" t="s">
        <v>121</v>
      </c>
      <c r="D8" s="134">
        <v>0</v>
      </c>
      <c r="E8" s="32">
        <v>0</v>
      </c>
      <c r="F8" s="32">
        <v>0.5</v>
      </c>
      <c r="G8" s="162">
        <v>1</v>
      </c>
      <c r="H8" s="146">
        <f t="shared" si="0"/>
        <v>1.5</v>
      </c>
    </row>
    <row r="9" spans="1:8" ht="19.5" customHeight="1">
      <c r="A9" s="8">
        <v>7</v>
      </c>
      <c r="B9" s="54" t="s">
        <v>429</v>
      </c>
      <c r="C9" s="55" t="s">
        <v>85</v>
      </c>
      <c r="D9" s="134">
        <v>0</v>
      </c>
      <c r="E9" s="32">
        <v>15</v>
      </c>
      <c r="F9" s="32">
        <v>7</v>
      </c>
      <c r="G9" s="162">
        <v>4</v>
      </c>
      <c r="H9" s="146">
        <f t="shared" si="0"/>
        <v>26</v>
      </c>
    </row>
    <row r="10" spans="1:8" ht="19.5" customHeight="1">
      <c r="A10" s="8">
        <v>8</v>
      </c>
      <c r="B10" s="54" t="s">
        <v>430</v>
      </c>
      <c r="C10" s="55" t="s">
        <v>225</v>
      </c>
      <c r="D10" s="134">
        <v>23</v>
      </c>
      <c r="E10" s="32">
        <v>2</v>
      </c>
      <c r="F10" s="32">
        <v>45</v>
      </c>
      <c r="G10" s="162">
        <v>5</v>
      </c>
      <c r="H10" s="146">
        <f t="shared" si="0"/>
        <v>75</v>
      </c>
    </row>
    <row r="11" spans="1:8" ht="19.5" customHeight="1">
      <c r="A11" s="8">
        <v>9</v>
      </c>
      <c r="B11" s="54" t="s">
        <v>431</v>
      </c>
      <c r="C11" s="55" t="s">
        <v>9</v>
      </c>
      <c r="D11" s="134">
        <v>21</v>
      </c>
      <c r="E11" s="32">
        <v>40</v>
      </c>
      <c r="F11" s="32">
        <v>51</v>
      </c>
      <c r="G11" s="162">
        <v>42</v>
      </c>
      <c r="H11" s="146">
        <f t="shared" si="0"/>
        <v>154</v>
      </c>
    </row>
    <row r="12" spans="1:8" ht="19.5" customHeight="1">
      <c r="A12" s="8"/>
      <c r="B12" s="54" t="s">
        <v>454</v>
      </c>
      <c r="C12" s="55" t="s">
        <v>455</v>
      </c>
      <c r="D12" s="134" t="s">
        <v>459</v>
      </c>
      <c r="E12" s="32">
        <v>0</v>
      </c>
      <c r="F12" s="32" t="s">
        <v>459</v>
      </c>
      <c r="G12" s="162" t="s">
        <v>459</v>
      </c>
      <c r="H12" s="146">
        <f t="shared" si="0"/>
        <v>0</v>
      </c>
    </row>
    <row r="13" spans="1:8" ht="19.5" customHeight="1">
      <c r="A13" s="8">
        <v>10</v>
      </c>
      <c r="B13" s="54" t="s">
        <v>92</v>
      </c>
      <c r="C13" s="55" t="s">
        <v>41</v>
      </c>
      <c r="D13" s="134">
        <v>0</v>
      </c>
      <c r="E13" s="32">
        <v>3</v>
      </c>
      <c r="F13" s="32">
        <v>5</v>
      </c>
      <c r="G13" s="162">
        <v>0</v>
      </c>
      <c r="H13" s="146">
        <f t="shared" si="0"/>
        <v>8</v>
      </c>
    </row>
    <row r="14" spans="1:8" ht="19.5" customHeight="1">
      <c r="A14" s="8">
        <v>11</v>
      </c>
      <c r="B14" s="54" t="s">
        <v>432</v>
      </c>
      <c r="C14" s="55" t="s">
        <v>4</v>
      </c>
      <c r="D14" s="134">
        <v>0</v>
      </c>
      <c r="E14" s="32">
        <v>0</v>
      </c>
      <c r="F14" s="32">
        <v>5</v>
      </c>
      <c r="G14" s="162">
        <v>6</v>
      </c>
      <c r="H14" s="146">
        <f t="shared" si="0"/>
        <v>11</v>
      </c>
    </row>
    <row r="15" spans="1:8" ht="19.5" customHeight="1">
      <c r="A15" s="8">
        <v>12</v>
      </c>
      <c r="B15" s="54" t="s">
        <v>433</v>
      </c>
      <c r="C15" s="55" t="s">
        <v>270</v>
      </c>
      <c r="D15" s="134">
        <v>44</v>
      </c>
      <c r="E15" s="32">
        <v>75</v>
      </c>
      <c r="F15" s="32">
        <v>147</v>
      </c>
      <c r="G15" s="164">
        <f>220+140+180+80+19</f>
        <v>639</v>
      </c>
      <c r="H15" s="146">
        <f t="shared" si="0"/>
        <v>905</v>
      </c>
    </row>
    <row r="16" spans="1:8" ht="19.5" customHeight="1">
      <c r="A16" s="8">
        <v>13</v>
      </c>
      <c r="B16" s="54" t="s">
        <v>434</v>
      </c>
      <c r="C16" s="55" t="s">
        <v>76</v>
      </c>
      <c r="D16" s="134">
        <v>40</v>
      </c>
      <c r="E16" s="32">
        <v>25</v>
      </c>
      <c r="F16" s="32">
        <v>35</v>
      </c>
      <c r="G16" s="162">
        <v>106</v>
      </c>
      <c r="H16" s="146">
        <f t="shared" si="0"/>
        <v>206</v>
      </c>
    </row>
    <row r="17" spans="1:8" ht="19.5" customHeight="1">
      <c r="A17" s="8">
        <v>14</v>
      </c>
      <c r="B17" s="54" t="s">
        <v>435</v>
      </c>
      <c r="C17" s="55" t="s">
        <v>35</v>
      </c>
      <c r="D17" s="134">
        <v>0</v>
      </c>
      <c r="E17" s="32">
        <v>12</v>
      </c>
      <c r="F17" s="32">
        <v>12</v>
      </c>
      <c r="G17" s="162">
        <v>15</v>
      </c>
      <c r="H17" s="146">
        <f t="shared" si="0"/>
        <v>39</v>
      </c>
    </row>
    <row r="18" spans="1:8" ht="19.5" customHeight="1">
      <c r="A18" s="8">
        <v>15</v>
      </c>
      <c r="B18" s="54" t="s">
        <v>436</v>
      </c>
      <c r="C18" s="55" t="s">
        <v>97</v>
      </c>
      <c r="D18" s="134">
        <v>0</v>
      </c>
      <c r="E18" s="32">
        <v>5</v>
      </c>
      <c r="F18" s="32">
        <v>3</v>
      </c>
      <c r="G18" s="162">
        <f>1+4</f>
        <v>5</v>
      </c>
      <c r="H18" s="146">
        <f t="shared" si="0"/>
        <v>13</v>
      </c>
    </row>
    <row r="19" spans="1:8" ht="19.5" customHeight="1">
      <c r="A19" s="8">
        <v>16</v>
      </c>
      <c r="B19" s="54" t="s">
        <v>437</v>
      </c>
      <c r="C19" s="55" t="s">
        <v>21</v>
      </c>
      <c r="D19" s="134">
        <v>140</v>
      </c>
      <c r="E19" s="32">
        <v>109</v>
      </c>
      <c r="F19" s="32">
        <v>130</v>
      </c>
      <c r="G19" s="162">
        <v>351</v>
      </c>
      <c r="H19" s="146">
        <f t="shared" si="0"/>
        <v>730</v>
      </c>
    </row>
    <row r="20" spans="1:8" ht="19.5" customHeight="1" thickBot="1">
      <c r="A20" s="9">
        <v>17</v>
      </c>
      <c r="B20" s="56" t="s">
        <v>438</v>
      </c>
      <c r="C20" s="57" t="s">
        <v>61</v>
      </c>
      <c r="D20" s="135">
        <f>1060+152</f>
        <v>1212</v>
      </c>
      <c r="E20" s="33">
        <v>2390</v>
      </c>
      <c r="F20" s="158">
        <f>360+240+540+540+120+140</f>
        <v>1940</v>
      </c>
      <c r="G20" s="165">
        <f>440+640+180</f>
        <v>1260</v>
      </c>
      <c r="H20" s="147">
        <f t="shared" si="0"/>
        <v>6802</v>
      </c>
    </row>
    <row r="21" spans="2:8" ht="15.75">
      <c r="B21" s="109" t="s">
        <v>452</v>
      </c>
      <c r="C21" s="105"/>
      <c r="D21" s="106">
        <v>8</v>
      </c>
      <c r="E21" s="106"/>
      <c r="F21" s="106">
        <v>5</v>
      </c>
      <c r="G21" s="110"/>
      <c r="H21" s="106">
        <f t="shared" si="0"/>
        <v>13</v>
      </c>
    </row>
    <row r="22" spans="2:8" ht="16.5" thickBot="1">
      <c r="B22" s="109"/>
      <c r="C22" s="105"/>
      <c r="D22" s="106"/>
      <c r="E22" s="106"/>
      <c r="F22" s="110"/>
      <c r="G22" s="110"/>
      <c r="H22" s="105"/>
    </row>
    <row r="23" spans="1:8" s="29" customFormat="1" ht="16.5" thickBot="1">
      <c r="A23" s="28"/>
      <c r="B23" s="119" t="s">
        <v>352</v>
      </c>
      <c r="D23" s="19">
        <f>SUM(D2:D21)</f>
        <v>1645</v>
      </c>
      <c r="E23" s="27">
        <f>SUM(E2:E21)</f>
        <v>2985</v>
      </c>
      <c r="F23" s="19">
        <f>SUM(F2:F21)</f>
        <v>2651.5</v>
      </c>
      <c r="G23" s="19">
        <f>SUM(G2:G21)</f>
        <v>2566</v>
      </c>
      <c r="H23" s="118">
        <f>SUM(H2:H21)</f>
        <v>9847.5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2008 - 2009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G21" sqref="G21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7" width="12.7109375" style="1" customWidth="1"/>
    <col min="8" max="8" width="15.7109375" style="0" customWidth="1"/>
  </cols>
  <sheetData>
    <row r="1" spans="1:8" ht="24.75" customHeight="1" thickBot="1">
      <c r="A1" s="3" t="s">
        <v>69</v>
      </c>
      <c r="B1" s="10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64">
        <v>1</v>
      </c>
      <c r="B2" s="58" t="s">
        <v>347</v>
      </c>
      <c r="C2" s="59" t="s">
        <v>66</v>
      </c>
      <c r="D2" s="11">
        <f>5+5</f>
        <v>10</v>
      </c>
      <c r="E2" s="31">
        <f>8+47+10</f>
        <v>65</v>
      </c>
      <c r="F2" s="31">
        <v>32</v>
      </c>
      <c r="G2" s="187">
        <v>22</v>
      </c>
      <c r="H2" s="102">
        <f>SUM(D2:G2)</f>
        <v>129</v>
      </c>
    </row>
    <row r="3" spans="1:8" ht="19.5" customHeight="1">
      <c r="A3" s="65">
        <v>2</v>
      </c>
      <c r="B3" s="60" t="s">
        <v>439</v>
      </c>
      <c r="C3" s="61" t="s">
        <v>64</v>
      </c>
      <c r="D3" s="12">
        <f>11+12</f>
        <v>23</v>
      </c>
      <c r="E3" s="32">
        <v>32</v>
      </c>
      <c r="F3" s="32">
        <v>65</v>
      </c>
      <c r="G3" s="164">
        <v>26</v>
      </c>
      <c r="H3" s="103">
        <f aca="true" t="shared" si="0" ref="H3:H23">SUM(D3:G3)</f>
        <v>146</v>
      </c>
    </row>
    <row r="4" spans="1:8" ht="19.5" customHeight="1">
      <c r="A4" s="65">
        <v>3</v>
      </c>
      <c r="B4" s="60" t="s">
        <v>354</v>
      </c>
      <c r="C4" s="61" t="s">
        <v>178</v>
      </c>
      <c r="D4" s="12">
        <f>18+10</f>
        <v>28</v>
      </c>
      <c r="E4" s="32">
        <f>85+53</f>
        <v>138</v>
      </c>
      <c r="F4" s="32">
        <f>94+22</f>
        <v>116</v>
      </c>
      <c r="G4" s="162">
        <v>26</v>
      </c>
      <c r="H4" s="103">
        <f t="shared" si="0"/>
        <v>308</v>
      </c>
    </row>
    <row r="5" spans="1:8" ht="19.5" customHeight="1">
      <c r="A5" s="65">
        <v>4</v>
      </c>
      <c r="B5" s="60" t="s">
        <v>38</v>
      </c>
      <c r="C5" s="61" t="s">
        <v>424</v>
      </c>
      <c r="D5" s="12">
        <v>0</v>
      </c>
      <c r="E5" s="32">
        <v>17</v>
      </c>
      <c r="F5" s="32">
        <v>0</v>
      </c>
      <c r="G5" s="162">
        <v>0</v>
      </c>
      <c r="H5" s="103">
        <f t="shared" si="0"/>
        <v>17</v>
      </c>
    </row>
    <row r="6" spans="1:8" ht="19.5" customHeight="1">
      <c r="A6" s="65">
        <v>5</v>
      </c>
      <c r="B6" s="60" t="s">
        <v>355</v>
      </c>
      <c r="C6" s="61" t="s">
        <v>15</v>
      </c>
      <c r="D6" s="12">
        <v>0</v>
      </c>
      <c r="E6" s="32">
        <v>53</v>
      </c>
      <c r="F6" s="32">
        <v>22</v>
      </c>
      <c r="G6" s="162">
        <v>35</v>
      </c>
      <c r="H6" s="103">
        <f t="shared" si="0"/>
        <v>110</v>
      </c>
    </row>
    <row r="7" spans="1:8" ht="19.5" customHeight="1">
      <c r="A7" s="65">
        <v>6</v>
      </c>
      <c r="B7" s="60" t="s">
        <v>356</v>
      </c>
      <c r="C7" s="61" t="s">
        <v>33</v>
      </c>
      <c r="D7" s="12">
        <f>8+4+9</f>
        <v>21</v>
      </c>
      <c r="E7" s="32">
        <v>0</v>
      </c>
      <c r="F7" s="32">
        <f>520+3</f>
        <v>523</v>
      </c>
      <c r="G7" s="164">
        <f>700+9</f>
        <v>709</v>
      </c>
      <c r="H7" s="103">
        <f t="shared" si="0"/>
        <v>1253</v>
      </c>
    </row>
    <row r="8" spans="1:8" ht="19.5" customHeight="1">
      <c r="A8" s="65">
        <v>7</v>
      </c>
      <c r="B8" s="60" t="s">
        <v>357</v>
      </c>
      <c r="C8" s="61" t="s">
        <v>358</v>
      </c>
      <c r="D8" s="12">
        <f>108+3</f>
        <v>111</v>
      </c>
      <c r="E8" s="32">
        <v>101</v>
      </c>
      <c r="F8" s="32">
        <v>0</v>
      </c>
      <c r="G8" s="162">
        <v>80</v>
      </c>
      <c r="H8" s="103">
        <f t="shared" si="0"/>
        <v>292</v>
      </c>
    </row>
    <row r="9" spans="1:8" ht="19.5" customHeight="1">
      <c r="A9" s="65">
        <v>8</v>
      </c>
      <c r="B9" s="60" t="s">
        <v>359</v>
      </c>
      <c r="C9" s="61" t="s">
        <v>55</v>
      </c>
      <c r="D9" s="12">
        <f>16+5</f>
        <v>21</v>
      </c>
      <c r="E9" s="32">
        <v>20</v>
      </c>
      <c r="F9" s="32">
        <v>24</v>
      </c>
      <c r="G9" s="162">
        <v>10</v>
      </c>
      <c r="H9" s="103">
        <f t="shared" si="0"/>
        <v>75</v>
      </c>
    </row>
    <row r="10" spans="1:8" ht="19.5" customHeight="1">
      <c r="A10" s="65">
        <v>9</v>
      </c>
      <c r="B10" s="60" t="s">
        <v>360</v>
      </c>
      <c r="C10" s="61" t="s">
        <v>7</v>
      </c>
      <c r="D10" s="12">
        <v>21</v>
      </c>
      <c r="E10" s="32">
        <v>23</v>
      </c>
      <c r="F10" s="32">
        <v>6</v>
      </c>
      <c r="G10" s="162">
        <v>0</v>
      </c>
      <c r="H10" s="103">
        <f t="shared" si="0"/>
        <v>50</v>
      </c>
    </row>
    <row r="11" spans="1:8" ht="19.5" customHeight="1">
      <c r="A11" s="65">
        <v>10</v>
      </c>
      <c r="B11" s="60" t="s">
        <v>361</v>
      </c>
      <c r="C11" s="61" t="s">
        <v>57</v>
      </c>
      <c r="D11" s="12">
        <v>14</v>
      </c>
      <c r="E11" s="32">
        <f>76+44+72+32+25+28+30</f>
        <v>307</v>
      </c>
      <c r="F11" s="155">
        <f>30+140+320</f>
        <v>490</v>
      </c>
      <c r="G11" s="164">
        <f>160+140+100+160</f>
        <v>560</v>
      </c>
      <c r="H11" s="103">
        <f t="shared" si="0"/>
        <v>1371</v>
      </c>
    </row>
    <row r="12" spans="1:8" ht="19.5" customHeight="1">
      <c r="A12" s="65">
        <v>11</v>
      </c>
      <c r="B12" s="60" t="s">
        <v>49</v>
      </c>
      <c r="C12" s="61" t="s">
        <v>31</v>
      </c>
      <c r="D12" s="12">
        <v>33</v>
      </c>
      <c r="E12" s="32">
        <v>26</v>
      </c>
      <c r="F12" s="32">
        <f>45+14</f>
        <v>59</v>
      </c>
      <c r="G12" s="162">
        <v>100</v>
      </c>
      <c r="H12" s="103">
        <f t="shared" si="0"/>
        <v>218</v>
      </c>
    </row>
    <row r="13" spans="1:8" ht="19.5" customHeight="1">
      <c r="A13" s="65">
        <v>12</v>
      </c>
      <c r="B13" s="60" t="s">
        <v>440</v>
      </c>
      <c r="C13" s="61" t="s">
        <v>66</v>
      </c>
      <c r="D13" s="12">
        <v>24</v>
      </c>
      <c r="E13" s="32">
        <v>80</v>
      </c>
      <c r="F13" s="155">
        <v>130</v>
      </c>
      <c r="G13" s="164">
        <v>240</v>
      </c>
      <c r="H13" s="103">
        <f t="shared" si="0"/>
        <v>474</v>
      </c>
    </row>
    <row r="14" spans="1:8" ht="19.5" customHeight="1">
      <c r="A14" s="65">
        <v>13</v>
      </c>
      <c r="B14" s="60" t="s">
        <v>136</v>
      </c>
      <c r="C14" s="61" t="s">
        <v>17</v>
      </c>
      <c r="D14" s="12">
        <v>28</v>
      </c>
      <c r="E14" s="32">
        <v>34</v>
      </c>
      <c r="F14" s="32">
        <v>26</v>
      </c>
      <c r="G14" s="162">
        <f>43+47</f>
        <v>90</v>
      </c>
      <c r="H14" s="103">
        <f t="shared" si="0"/>
        <v>178</v>
      </c>
    </row>
    <row r="15" spans="1:8" ht="19.5" customHeight="1">
      <c r="A15" s="65">
        <v>14</v>
      </c>
      <c r="B15" s="60" t="s">
        <v>363</v>
      </c>
      <c r="C15" s="61" t="s">
        <v>70</v>
      </c>
      <c r="D15" s="12">
        <v>49</v>
      </c>
      <c r="E15" s="32">
        <f>86+33</f>
        <v>119</v>
      </c>
      <c r="F15" s="32">
        <v>50</v>
      </c>
      <c r="G15" s="162">
        <v>9</v>
      </c>
      <c r="H15" s="103">
        <f t="shared" si="0"/>
        <v>227</v>
      </c>
    </row>
    <row r="16" spans="1:8" ht="19.5" customHeight="1">
      <c r="A16" s="65">
        <v>15</v>
      </c>
      <c r="B16" s="60" t="s">
        <v>189</v>
      </c>
      <c r="C16" s="61" t="s">
        <v>11</v>
      </c>
      <c r="D16" s="12">
        <v>0</v>
      </c>
      <c r="E16" s="32">
        <v>0</v>
      </c>
      <c r="F16" s="32">
        <v>67</v>
      </c>
      <c r="G16" s="162">
        <v>3</v>
      </c>
      <c r="H16" s="103">
        <f t="shared" si="0"/>
        <v>70</v>
      </c>
    </row>
    <row r="17" spans="1:8" ht="19.5" customHeight="1">
      <c r="A17" s="65">
        <v>16</v>
      </c>
      <c r="B17" s="60" t="s">
        <v>92</v>
      </c>
      <c r="C17" s="61" t="s">
        <v>31</v>
      </c>
      <c r="D17" s="12">
        <v>49</v>
      </c>
      <c r="E17" s="32">
        <v>111</v>
      </c>
      <c r="F17" s="32">
        <v>38</v>
      </c>
      <c r="G17" s="162">
        <f>6+20</f>
        <v>26</v>
      </c>
      <c r="H17" s="103">
        <f t="shared" si="0"/>
        <v>224</v>
      </c>
    </row>
    <row r="18" spans="1:8" ht="19.5" customHeight="1">
      <c r="A18" s="65">
        <v>17</v>
      </c>
      <c r="B18" s="60" t="s">
        <v>364</v>
      </c>
      <c r="C18" s="61" t="s">
        <v>41</v>
      </c>
      <c r="D18" s="134">
        <v>20</v>
      </c>
      <c r="E18" s="32">
        <v>18</v>
      </c>
      <c r="F18" s="32">
        <v>16</v>
      </c>
      <c r="G18" s="186">
        <v>16</v>
      </c>
      <c r="H18" s="103">
        <f t="shared" si="0"/>
        <v>70</v>
      </c>
    </row>
    <row r="19" spans="1:8" ht="19.5" customHeight="1">
      <c r="A19" s="65">
        <v>18</v>
      </c>
      <c r="B19" s="60" t="s">
        <v>399</v>
      </c>
      <c r="C19" s="61" t="s">
        <v>59</v>
      </c>
      <c r="D19" s="12">
        <v>0</v>
      </c>
      <c r="E19" s="32">
        <v>0</v>
      </c>
      <c r="F19" s="32">
        <v>11</v>
      </c>
      <c r="G19" s="162">
        <v>23</v>
      </c>
      <c r="H19" s="103">
        <f t="shared" si="0"/>
        <v>34</v>
      </c>
    </row>
    <row r="20" spans="1:8" ht="19.5" customHeight="1">
      <c r="A20" s="65">
        <v>19</v>
      </c>
      <c r="B20" s="60" t="s">
        <v>365</v>
      </c>
      <c r="C20" s="61" t="s">
        <v>366</v>
      </c>
      <c r="D20" s="12">
        <f>52+73+3</f>
        <v>128</v>
      </c>
      <c r="E20" s="32">
        <f>24+25+32+58+52</f>
        <v>191</v>
      </c>
      <c r="F20" s="32">
        <v>60</v>
      </c>
      <c r="G20" s="164">
        <f>100+66+28</f>
        <v>194</v>
      </c>
      <c r="H20" s="103">
        <f t="shared" si="0"/>
        <v>573</v>
      </c>
    </row>
    <row r="21" spans="1:8" ht="19.5" customHeight="1">
      <c r="A21" s="65">
        <v>20</v>
      </c>
      <c r="B21" s="60" t="s">
        <v>367</v>
      </c>
      <c r="C21" s="61" t="s">
        <v>95</v>
      </c>
      <c r="D21" s="12">
        <v>42</v>
      </c>
      <c r="E21" s="32">
        <v>57</v>
      </c>
      <c r="F21" s="32">
        <v>18</v>
      </c>
      <c r="G21" s="162">
        <f>26+7</f>
        <v>33</v>
      </c>
      <c r="H21" s="103">
        <f t="shared" si="0"/>
        <v>150</v>
      </c>
    </row>
    <row r="22" spans="1:8" ht="19.5" customHeight="1">
      <c r="A22" s="8">
        <v>21</v>
      </c>
      <c r="B22" s="60" t="s">
        <v>368</v>
      </c>
      <c r="C22" s="61" t="s">
        <v>57</v>
      </c>
      <c r="D22" s="12">
        <v>22</v>
      </c>
      <c r="E22" s="32">
        <v>21</v>
      </c>
      <c r="F22" s="32">
        <v>5</v>
      </c>
      <c r="G22" s="162">
        <v>10</v>
      </c>
      <c r="H22" s="103">
        <f t="shared" si="0"/>
        <v>58</v>
      </c>
    </row>
    <row r="23" spans="1:8" ht="19.5" customHeight="1" thickBot="1">
      <c r="A23" s="66">
        <v>22</v>
      </c>
      <c r="B23" s="62" t="s">
        <v>369</v>
      </c>
      <c r="C23" s="63" t="s">
        <v>370</v>
      </c>
      <c r="D23" s="67">
        <v>0</v>
      </c>
      <c r="E23" s="68">
        <v>13</v>
      </c>
      <c r="F23" s="68">
        <v>0</v>
      </c>
      <c r="G23" s="171">
        <f>240+80</f>
        <v>320</v>
      </c>
      <c r="H23" s="104">
        <f t="shared" si="0"/>
        <v>333</v>
      </c>
    </row>
    <row r="24" spans="1:8" ht="15.75">
      <c r="A24" s="22"/>
      <c r="B24" s="109" t="s">
        <v>452</v>
      </c>
      <c r="C24" s="111"/>
      <c r="D24" s="112"/>
      <c r="E24" s="110"/>
      <c r="F24" s="110"/>
      <c r="G24" s="110"/>
      <c r="H24" s="116">
        <f>SUM(D24:G24)</f>
        <v>0</v>
      </c>
    </row>
    <row r="25" spans="1:8" ht="16.5" thickBot="1">
      <c r="A25" s="22"/>
      <c r="B25" s="109"/>
      <c r="C25" s="111"/>
      <c r="D25" s="112"/>
      <c r="E25" s="110"/>
      <c r="F25" s="110"/>
      <c r="G25" s="110"/>
      <c r="H25" s="117"/>
    </row>
    <row r="26" spans="1:8" s="29" customFormat="1" ht="16.5" thickBot="1">
      <c r="A26" s="28"/>
      <c r="B26" s="119" t="s">
        <v>352</v>
      </c>
      <c r="D26" s="19">
        <f>SUM(D2:D23)</f>
        <v>644</v>
      </c>
      <c r="E26" s="19">
        <f>SUM(E2:E23)</f>
        <v>1426</v>
      </c>
      <c r="F26" s="19">
        <f>SUM(F2:F23)</f>
        <v>1758</v>
      </c>
      <c r="G26" s="19">
        <f>SUM(G2:G23)</f>
        <v>2532</v>
      </c>
      <c r="H26" s="118">
        <f>SUM(H2:H24)</f>
        <v>6360</v>
      </c>
    </row>
    <row r="27" ht="12.75">
      <c r="H27" s="21"/>
    </row>
    <row r="28" ht="12.75">
      <c r="D28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>&amp;C&amp;"Arial,Tučné"&amp;16Sběr 2008 - 2009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L22" sqref="L22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101</v>
      </c>
      <c r="B1" s="10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64">
        <v>1</v>
      </c>
      <c r="B2" s="58" t="s">
        <v>371</v>
      </c>
      <c r="C2" s="59" t="s">
        <v>110</v>
      </c>
      <c r="D2" s="11">
        <v>4</v>
      </c>
      <c r="E2" s="31">
        <v>6</v>
      </c>
      <c r="F2" s="31">
        <v>27</v>
      </c>
      <c r="G2" s="161">
        <v>16</v>
      </c>
      <c r="H2" s="102">
        <f>SUM(D2:G2)</f>
        <v>53</v>
      </c>
    </row>
    <row r="3" spans="1:8" ht="19.5" customHeight="1">
      <c r="A3" s="65">
        <v>2</v>
      </c>
      <c r="B3" s="60" t="s">
        <v>226</v>
      </c>
      <c r="C3" s="61" t="s">
        <v>41</v>
      </c>
      <c r="D3" s="12">
        <v>14</v>
      </c>
      <c r="E3" s="32">
        <v>21</v>
      </c>
      <c r="F3" s="32">
        <v>14</v>
      </c>
      <c r="G3" s="162">
        <v>27</v>
      </c>
      <c r="H3" s="103">
        <f aca="true" t="shared" si="0" ref="H3:H22">SUM(D3:G3)</f>
        <v>76</v>
      </c>
    </row>
    <row r="4" spans="1:8" ht="19.5" customHeight="1">
      <c r="A4" s="65">
        <v>3</v>
      </c>
      <c r="B4" s="60" t="s">
        <v>372</v>
      </c>
      <c r="C4" s="61" t="s">
        <v>24</v>
      </c>
      <c r="D4" s="12">
        <v>0</v>
      </c>
      <c r="E4" s="32">
        <v>0</v>
      </c>
      <c r="F4" s="32">
        <v>0</v>
      </c>
      <c r="G4" s="162">
        <v>2</v>
      </c>
      <c r="H4" s="103">
        <f t="shared" si="0"/>
        <v>2</v>
      </c>
    </row>
    <row r="5" spans="1:8" ht="19.5" customHeight="1">
      <c r="A5" s="65">
        <v>4</v>
      </c>
      <c r="B5" s="60" t="s">
        <v>374</v>
      </c>
      <c r="C5" s="61" t="s">
        <v>48</v>
      </c>
      <c r="D5" s="12">
        <v>77</v>
      </c>
      <c r="E5" s="32">
        <v>0</v>
      </c>
      <c r="F5" s="32">
        <v>14</v>
      </c>
      <c r="G5" s="162">
        <v>14</v>
      </c>
      <c r="H5" s="103">
        <f t="shared" si="0"/>
        <v>105</v>
      </c>
    </row>
    <row r="6" spans="1:8" ht="19.5" customHeight="1">
      <c r="A6" s="65">
        <v>5</v>
      </c>
      <c r="B6" s="60" t="s">
        <v>375</v>
      </c>
      <c r="C6" s="61" t="s">
        <v>13</v>
      </c>
      <c r="D6" s="12">
        <v>13</v>
      </c>
      <c r="E6" s="32">
        <v>15</v>
      </c>
      <c r="F6" s="32">
        <v>10</v>
      </c>
      <c r="G6" s="162">
        <v>4</v>
      </c>
      <c r="H6" s="103">
        <f t="shared" si="0"/>
        <v>42</v>
      </c>
    </row>
    <row r="7" spans="1:8" ht="19.5" customHeight="1">
      <c r="A7" s="65">
        <v>6</v>
      </c>
      <c r="B7" s="60" t="s">
        <v>376</v>
      </c>
      <c r="C7" s="61" t="s">
        <v>95</v>
      </c>
      <c r="D7" s="12">
        <v>2</v>
      </c>
      <c r="E7" s="32">
        <v>10</v>
      </c>
      <c r="F7" s="32">
        <v>12</v>
      </c>
      <c r="G7" s="162">
        <v>8</v>
      </c>
      <c r="H7" s="103">
        <f t="shared" si="0"/>
        <v>32</v>
      </c>
    </row>
    <row r="8" spans="1:8" ht="19.5" customHeight="1">
      <c r="A8" s="65">
        <v>7</v>
      </c>
      <c r="B8" s="60" t="s">
        <v>383</v>
      </c>
      <c r="C8" s="61" t="s">
        <v>48</v>
      </c>
      <c r="D8" s="12">
        <v>50</v>
      </c>
      <c r="E8" s="32">
        <v>0</v>
      </c>
      <c r="F8" s="32">
        <v>0</v>
      </c>
      <c r="G8" s="162">
        <v>50</v>
      </c>
      <c r="H8" s="103">
        <f t="shared" si="0"/>
        <v>100</v>
      </c>
    </row>
    <row r="9" spans="1:8" ht="19.5" customHeight="1">
      <c r="A9" s="65">
        <v>8</v>
      </c>
      <c r="B9" s="60" t="s">
        <v>131</v>
      </c>
      <c r="C9" s="61" t="s">
        <v>70</v>
      </c>
      <c r="D9" s="12">
        <v>36</v>
      </c>
      <c r="E9" s="32">
        <v>56</v>
      </c>
      <c r="F9" s="32">
        <v>23</v>
      </c>
      <c r="G9" s="164">
        <f>155+10</f>
        <v>165</v>
      </c>
      <c r="H9" s="103">
        <f t="shared" si="0"/>
        <v>280</v>
      </c>
    </row>
    <row r="10" spans="1:8" ht="19.5" customHeight="1">
      <c r="A10" s="65">
        <v>9</v>
      </c>
      <c r="B10" s="60" t="s">
        <v>441</v>
      </c>
      <c r="C10" s="61" t="s">
        <v>31</v>
      </c>
      <c r="D10" s="12">
        <v>0</v>
      </c>
      <c r="E10" s="32">
        <v>0</v>
      </c>
      <c r="F10" s="32">
        <v>52</v>
      </c>
      <c r="G10" s="162">
        <v>10</v>
      </c>
      <c r="H10" s="103">
        <f t="shared" si="0"/>
        <v>62</v>
      </c>
    </row>
    <row r="11" spans="1:8" ht="19.5" customHeight="1">
      <c r="A11" s="65">
        <v>10</v>
      </c>
      <c r="B11" s="60" t="s">
        <v>377</v>
      </c>
      <c r="C11" s="61" t="s">
        <v>48</v>
      </c>
      <c r="D11" s="12">
        <f>44+62+36</f>
        <v>142</v>
      </c>
      <c r="E11" s="32">
        <f>51+70</f>
        <v>121</v>
      </c>
      <c r="F11" s="32">
        <v>72</v>
      </c>
      <c r="G11" s="162">
        <f>72+32+41</f>
        <v>145</v>
      </c>
      <c r="H11" s="103">
        <f t="shared" si="0"/>
        <v>480</v>
      </c>
    </row>
    <row r="12" spans="1:8" ht="19.5" customHeight="1">
      <c r="A12" s="65">
        <v>11</v>
      </c>
      <c r="B12" s="60" t="s">
        <v>378</v>
      </c>
      <c r="C12" s="61" t="s">
        <v>24</v>
      </c>
      <c r="D12" s="12">
        <v>4</v>
      </c>
      <c r="E12" s="32">
        <v>5</v>
      </c>
      <c r="F12" s="32">
        <v>22</v>
      </c>
      <c r="G12" s="162">
        <v>26</v>
      </c>
      <c r="H12" s="103">
        <f t="shared" si="0"/>
        <v>57</v>
      </c>
    </row>
    <row r="13" spans="1:8" ht="19.5" customHeight="1">
      <c r="A13" s="65">
        <v>12</v>
      </c>
      <c r="B13" s="60" t="s">
        <v>379</v>
      </c>
      <c r="C13" s="61" t="s">
        <v>70</v>
      </c>
      <c r="D13" s="12">
        <v>23</v>
      </c>
      <c r="E13" s="32">
        <v>2</v>
      </c>
      <c r="F13" s="32">
        <v>47</v>
      </c>
      <c r="G13" s="162">
        <v>0</v>
      </c>
      <c r="H13" s="103">
        <f t="shared" si="0"/>
        <v>72</v>
      </c>
    </row>
    <row r="14" spans="1:8" ht="19.5" customHeight="1">
      <c r="A14" s="65">
        <v>13</v>
      </c>
      <c r="B14" s="60" t="s">
        <v>450</v>
      </c>
      <c r="C14" s="61" t="s">
        <v>373</v>
      </c>
      <c r="D14" s="134">
        <f>130+100+120</f>
        <v>350</v>
      </c>
      <c r="E14" s="32">
        <f>60+180+120+100</f>
        <v>460</v>
      </c>
      <c r="F14" s="155">
        <f>180+100</f>
        <v>280</v>
      </c>
      <c r="G14" s="164">
        <f>160+180</f>
        <v>340</v>
      </c>
      <c r="H14" s="103">
        <f t="shared" si="0"/>
        <v>1430</v>
      </c>
    </row>
    <row r="15" spans="1:8" ht="19.5" customHeight="1">
      <c r="A15" s="65">
        <v>14</v>
      </c>
      <c r="B15" s="60" t="s">
        <v>397</v>
      </c>
      <c r="C15" s="61" t="s">
        <v>362</v>
      </c>
      <c r="D15" s="12">
        <v>13</v>
      </c>
      <c r="E15" s="32">
        <v>0</v>
      </c>
      <c r="F15" s="32">
        <v>0</v>
      </c>
      <c r="G15" s="162">
        <v>0</v>
      </c>
      <c r="H15" s="103">
        <f t="shared" si="0"/>
        <v>13</v>
      </c>
    </row>
    <row r="16" spans="1:8" ht="19.5" customHeight="1">
      <c r="A16" s="65">
        <v>15</v>
      </c>
      <c r="B16" s="60" t="s">
        <v>380</v>
      </c>
      <c r="C16" s="61" t="s">
        <v>35</v>
      </c>
      <c r="D16" s="12">
        <v>0</v>
      </c>
      <c r="E16" s="32">
        <v>0</v>
      </c>
      <c r="F16" s="32">
        <v>40</v>
      </c>
      <c r="G16" s="162">
        <v>24</v>
      </c>
      <c r="H16" s="103">
        <f t="shared" si="0"/>
        <v>64</v>
      </c>
    </row>
    <row r="17" spans="1:8" ht="19.5" customHeight="1">
      <c r="A17" s="65">
        <v>16</v>
      </c>
      <c r="B17" s="60" t="s">
        <v>381</v>
      </c>
      <c r="C17" s="61" t="s">
        <v>44</v>
      </c>
      <c r="D17" s="12">
        <v>0</v>
      </c>
      <c r="E17" s="32">
        <v>18</v>
      </c>
      <c r="F17" s="32">
        <v>0</v>
      </c>
      <c r="G17" s="162">
        <v>0</v>
      </c>
      <c r="H17" s="103">
        <f t="shared" si="0"/>
        <v>18</v>
      </c>
    </row>
    <row r="18" spans="1:8" ht="19.5" customHeight="1">
      <c r="A18" s="65">
        <v>17</v>
      </c>
      <c r="B18" s="60" t="s">
        <v>382</v>
      </c>
      <c r="C18" s="61" t="s">
        <v>50</v>
      </c>
      <c r="D18" s="12">
        <v>7</v>
      </c>
      <c r="E18" s="32">
        <v>50</v>
      </c>
      <c r="F18" s="32">
        <v>0</v>
      </c>
      <c r="G18" s="162">
        <v>27</v>
      </c>
      <c r="H18" s="103">
        <f t="shared" si="0"/>
        <v>84</v>
      </c>
    </row>
    <row r="19" spans="1:8" ht="19.5" customHeight="1">
      <c r="A19" s="65">
        <v>18</v>
      </c>
      <c r="B19" s="60" t="s">
        <v>384</v>
      </c>
      <c r="C19" s="61" t="s">
        <v>9</v>
      </c>
      <c r="D19" s="12">
        <v>68</v>
      </c>
      <c r="E19" s="32">
        <v>120</v>
      </c>
      <c r="F19" s="32">
        <v>40</v>
      </c>
      <c r="G19" s="162">
        <v>40</v>
      </c>
      <c r="H19" s="103">
        <f t="shared" si="0"/>
        <v>268</v>
      </c>
    </row>
    <row r="20" spans="1:8" ht="19.5" customHeight="1">
      <c r="A20" s="65">
        <v>19</v>
      </c>
      <c r="B20" s="60" t="s">
        <v>365</v>
      </c>
      <c r="C20" s="61" t="s">
        <v>17</v>
      </c>
      <c r="D20" s="12">
        <f>61+65+51</f>
        <v>177</v>
      </c>
      <c r="E20" s="32">
        <f>46+62+30+40</f>
        <v>178</v>
      </c>
      <c r="F20" s="32">
        <v>76</v>
      </c>
      <c r="G20" s="162">
        <f>36+73</f>
        <v>109</v>
      </c>
      <c r="H20" s="103">
        <f t="shared" si="0"/>
        <v>540</v>
      </c>
    </row>
    <row r="21" spans="1:8" ht="19.5" customHeight="1">
      <c r="A21" s="65">
        <v>20</v>
      </c>
      <c r="B21" s="60" t="s">
        <v>385</v>
      </c>
      <c r="C21" s="61" t="s">
        <v>21</v>
      </c>
      <c r="D21" s="12">
        <v>0</v>
      </c>
      <c r="E21" s="32">
        <v>8</v>
      </c>
      <c r="F21" s="32">
        <v>0</v>
      </c>
      <c r="G21" s="162">
        <v>36</v>
      </c>
      <c r="H21" s="103">
        <f t="shared" si="0"/>
        <v>44</v>
      </c>
    </row>
    <row r="22" spans="1:8" ht="19.5" customHeight="1" thickBot="1">
      <c r="A22" s="69">
        <v>21</v>
      </c>
      <c r="B22" s="62" t="s">
        <v>386</v>
      </c>
      <c r="C22" s="63" t="s">
        <v>242</v>
      </c>
      <c r="D22" s="14">
        <v>7</v>
      </c>
      <c r="E22" s="33">
        <v>6</v>
      </c>
      <c r="F22" s="33">
        <v>0</v>
      </c>
      <c r="G22" s="167">
        <v>39</v>
      </c>
      <c r="H22" s="104">
        <f t="shared" si="0"/>
        <v>52</v>
      </c>
    </row>
    <row r="23" spans="1:8" ht="15.75">
      <c r="A23" s="22"/>
      <c r="B23" s="109" t="s">
        <v>452</v>
      </c>
      <c r="C23" s="105"/>
      <c r="D23" s="106">
        <v>27</v>
      </c>
      <c r="E23" s="137">
        <v>9</v>
      </c>
      <c r="F23" s="107"/>
      <c r="G23" s="107">
        <v>8</v>
      </c>
      <c r="H23" s="106">
        <f>SUM(D23:G23)</f>
        <v>44</v>
      </c>
    </row>
    <row r="24" spans="4:7" ht="15.75" thickBot="1">
      <c r="D24" s="18"/>
      <c r="E24" s="15"/>
      <c r="F24" s="166"/>
      <c r="G24" s="166"/>
    </row>
    <row r="25" spans="1:8" s="29" customFormat="1" ht="16.5" thickBot="1">
      <c r="A25" s="28"/>
      <c r="B25" s="119" t="s">
        <v>352</v>
      </c>
      <c r="D25" s="19">
        <f>SUM(D2:D23)</f>
        <v>1014</v>
      </c>
      <c r="E25" s="19">
        <f>SUM(E2:E23)</f>
        <v>1085</v>
      </c>
      <c r="F25" s="19">
        <f>SUM(F2:F22)</f>
        <v>729</v>
      </c>
      <c r="G25" s="19">
        <f>SUM(G2:G23)</f>
        <v>1090</v>
      </c>
      <c r="H25" s="118">
        <f>SUM(H2:H24)</f>
        <v>3918</v>
      </c>
    </row>
    <row r="27" spans="2:4" ht="12.75">
      <c r="B27" s="20"/>
      <c r="D27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&amp;C&amp;"Arial,Tučné"&amp;16Sběr 2008 - 2009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H2" sqref="H2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7" width="12.7109375" style="1" customWidth="1"/>
    <col min="8" max="8" width="15.7109375" style="0" customWidth="1"/>
  </cols>
  <sheetData>
    <row r="1" spans="1:8" ht="24.75" customHeight="1" thickBot="1">
      <c r="A1" s="3" t="s">
        <v>124</v>
      </c>
      <c r="B1" s="10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64">
        <v>1</v>
      </c>
      <c r="B2" s="58" t="s">
        <v>1</v>
      </c>
      <c r="C2" s="59" t="s">
        <v>2</v>
      </c>
      <c r="D2" s="11">
        <f>85+14</f>
        <v>99</v>
      </c>
      <c r="E2" s="31">
        <f>103+127+79</f>
        <v>309</v>
      </c>
      <c r="F2" s="31">
        <v>86</v>
      </c>
      <c r="G2" s="161">
        <v>80</v>
      </c>
      <c r="H2" s="102">
        <f>SUM(D2:G2)</f>
        <v>574</v>
      </c>
    </row>
    <row r="3" spans="1:8" ht="19.5" customHeight="1">
      <c r="A3" s="65">
        <v>2</v>
      </c>
      <c r="B3" s="60" t="s">
        <v>3</v>
      </c>
      <c r="C3" s="61" t="s">
        <v>4</v>
      </c>
      <c r="D3" s="12">
        <v>8</v>
      </c>
      <c r="E3" s="32">
        <v>8</v>
      </c>
      <c r="F3" s="32">
        <v>12</v>
      </c>
      <c r="G3" s="162">
        <v>23</v>
      </c>
      <c r="H3" s="103">
        <f aca="true" t="shared" si="0" ref="H3:H21">SUM(D3:G3)</f>
        <v>51</v>
      </c>
    </row>
    <row r="4" spans="1:8" ht="19.5" customHeight="1">
      <c r="A4" s="65">
        <v>3</v>
      </c>
      <c r="B4" s="60" t="s">
        <v>5</v>
      </c>
      <c r="C4" s="61" t="s">
        <v>6</v>
      </c>
      <c r="D4" s="12">
        <f>25+32+30</f>
        <v>87</v>
      </c>
      <c r="E4" s="32">
        <v>83</v>
      </c>
      <c r="F4" s="155">
        <v>80</v>
      </c>
      <c r="G4" s="164">
        <v>160</v>
      </c>
      <c r="H4" s="103">
        <f t="shared" si="0"/>
        <v>410</v>
      </c>
    </row>
    <row r="5" spans="1:8" ht="19.5" customHeight="1">
      <c r="A5" s="65">
        <v>4</v>
      </c>
      <c r="B5" s="60" t="s">
        <v>8</v>
      </c>
      <c r="C5" s="61" t="s">
        <v>9</v>
      </c>
      <c r="D5" s="12">
        <v>4</v>
      </c>
      <c r="E5" s="32">
        <v>0</v>
      </c>
      <c r="F5" s="32">
        <v>6</v>
      </c>
      <c r="G5" s="162">
        <v>0</v>
      </c>
      <c r="H5" s="103">
        <f t="shared" si="0"/>
        <v>10</v>
      </c>
    </row>
    <row r="6" spans="1:8" ht="19.5" customHeight="1">
      <c r="A6" s="65">
        <v>5</v>
      </c>
      <c r="B6" s="60" t="s">
        <v>10</v>
      </c>
      <c r="C6" s="61" t="s">
        <v>11</v>
      </c>
      <c r="D6" s="12">
        <v>10</v>
      </c>
      <c r="E6" s="32">
        <v>29</v>
      </c>
      <c r="F6" s="32">
        <v>26</v>
      </c>
      <c r="G6" s="162">
        <v>4</v>
      </c>
      <c r="H6" s="103">
        <f t="shared" si="0"/>
        <v>69</v>
      </c>
    </row>
    <row r="7" spans="1:8" ht="19.5" customHeight="1">
      <c r="A7" s="65">
        <v>6</v>
      </c>
      <c r="B7" s="60" t="s">
        <v>12</v>
      </c>
      <c r="C7" s="61" t="s">
        <v>13</v>
      </c>
      <c r="D7" s="12">
        <v>0</v>
      </c>
      <c r="E7" s="32">
        <v>20</v>
      </c>
      <c r="F7" s="32">
        <v>270</v>
      </c>
      <c r="G7" s="162">
        <v>260</v>
      </c>
      <c r="H7" s="103">
        <f t="shared" si="0"/>
        <v>550</v>
      </c>
    </row>
    <row r="8" spans="1:8" ht="19.5" customHeight="1">
      <c r="A8" s="65">
        <v>7</v>
      </c>
      <c r="B8" s="60" t="s">
        <v>14</v>
      </c>
      <c r="C8" s="61" t="s">
        <v>15</v>
      </c>
      <c r="D8" s="12">
        <v>4</v>
      </c>
      <c r="E8" s="32">
        <v>9</v>
      </c>
      <c r="F8" s="32">
        <v>28</v>
      </c>
      <c r="G8" s="186">
        <v>10</v>
      </c>
      <c r="H8" s="103">
        <f t="shared" si="0"/>
        <v>51</v>
      </c>
    </row>
    <row r="9" spans="1:8" ht="19.5" customHeight="1">
      <c r="A9" s="65">
        <v>8</v>
      </c>
      <c r="B9" s="60" t="s">
        <v>16</v>
      </c>
      <c r="C9" s="61" t="s">
        <v>17</v>
      </c>
      <c r="D9" s="12">
        <v>50</v>
      </c>
      <c r="E9" s="32">
        <v>8</v>
      </c>
      <c r="F9" s="32">
        <v>0</v>
      </c>
      <c r="G9" s="162">
        <v>10</v>
      </c>
      <c r="H9" s="103">
        <f t="shared" si="0"/>
        <v>68</v>
      </c>
    </row>
    <row r="10" spans="1:8" ht="19.5" customHeight="1">
      <c r="A10" s="65">
        <v>9</v>
      </c>
      <c r="B10" s="60" t="s">
        <v>18</v>
      </c>
      <c r="C10" s="61" t="s">
        <v>19</v>
      </c>
      <c r="D10" s="12">
        <v>5</v>
      </c>
      <c r="E10" s="32">
        <v>0</v>
      </c>
      <c r="F10" s="32">
        <v>0</v>
      </c>
      <c r="G10" s="162">
        <v>0</v>
      </c>
      <c r="H10" s="103">
        <f t="shared" si="0"/>
        <v>5</v>
      </c>
    </row>
    <row r="11" spans="1:8" ht="19.5" customHeight="1">
      <c r="A11" s="65">
        <v>10</v>
      </c>
      <c r="B11" s="60" t="s">
        <v>20</v>
      </c>
      <c r="C11" s="61" t="s">
        <v>21</v>
      </c>
      <c r="D11" s="12">
        <v>4</v>
      </c>
      <c r="E11" s="32">
        <v>11</v>
      </c>
      <c r="F11" s="32">
        <v>21</v>
      </c>
      <c r="G11" s="162">
        <v>16</v>
      </c>
      <c r="H11" s="103">
        <f t="shared" si="0"/>
        <v>52</v>
      </c>
    </row>
    <row r="12" spans="1:8" ht="19.5" customHeight="1">
      <c r="A12" s="65">
        <v>11</v>
      </c>
      <c r="B12" s="60" t="s">
        <v>22</v>
      </c>
      <c r="C12" s="61" t="s">
        <v>23</v>
      </c>
      <c r="D12" s="12">
        <v>48</v>
      </c>
      <c r="E12" s="32">
        <v>0</v>
      </c>
      <c r="F12" s="32">
        <v>0</v>
      </c>
      <c r="G12" s="162">
        <v>30</v>
      </c>
      <c r="H12" s="103">
        <f t="shared" si="0"/>
        <v>78</v>
      </c>
    </row>
    <row r="13" spans="1:8" ht="19.5" customHeight="1">
      <c r="A13" s="65">
        <v>12</v>
      </c>
      <c r="B13" s="60" t="s">
        <v>387</v>
      </c>
      <c r="C13" s="61" t="s">
        <v>388</v>
      </c>
      <c r="D13" s="12">
        <v>0</v>
      </c>
      <c r="E13" s="32">
        <v>0</v>
      </c>
      <c r="F13" s="32">
        <v>0</v>
      </c>
      <c r="G13" s="162">
        <v>9</v>
      </c>
      <c r="H13" s="103">
        <f t="shared" si="0"/>
        <v>9</v>
      </c>
    </row>
    <row r="14" spans="1:8" ht="19.5" customHeight="1">
      <c r="A14" s="65">
        <v>13</v>
      </c>
      <c r="B14" s="60" t="s">
        <v>389</v>
      </c>
      <c r="C14" s="61" t="s">
        <v>442</v>
      </c>
      <c r="D14" s="12">
        <v>10</v>
      </c>
      <c r="E14" s="32">
        <v>6</v>
      </c>
      <c r="F14" s="32">
        <v>17</v>
      </c>
      <c r="G14" s="162">
        <v>4</v>
      </c>
      <c r="H14" s="103">
        <f t="shared" si="0"/>
        <v>37</v>
      </c>
    </row>
    <row r="15" spans="1:8" ht="19.5" customHeight="1">
      <c r="A15" s="65">
        <v>14</v>
      </c>
      <c r="B15" s="60" t="s">
        <v>25</v>
      </c>
      <c r="C15" s="61" t="s">
        <v>26</v>
      </c>
      <c r="D15" s="12">
        <v>15</v>
      </c>
      <c r="E15" s="32">
        <v>19</v>
      </c>
      <c r="F15" s="32">
        <v>13</v>
      </c>
      <c r="G15" s="162">
        <v>18</v>
      </c>
      <c r="H15" s="103">
        <f t="shared" si="0"/>
        <v>65</v>
      </c>
    </row>
    <row r="16" spans="1:8" ht="19.5" customHeight="1">
      <c r="A16" s="65">
        <v>15</v>
      </c>
      <c r="B16" s="60" t="s">
        <v>27</v>
      </c>
      <c r="C16" s="61" t="s">
        <v>28</v>
      </c>
      <c r="D16" s="12">
        <v>5</v>
      </c>
      <c r="E16" s="32">
        <v>2</v>
      </c>
      <c r="F16" s="32">
        <v>0</v>
      </c>
      <c r="G16" s="162">
        <v>9</v>
      </c>
      <c r="H16" s="103">
        <f t="shared" si="0"/>
        <v>16</v>
      </c>
    </row>
    <row r="17" spans="1:8" ht="19.5" customHeight="1">
      <c r="A17" s="65">
        <v>16</v>
      </c>
      <c r="B17" s="60" t="s">
        <v>443</v>
      </c>
      <c r="C17" s="61" t="s">
        <v>21</v>
      </c>
      <c r="D17" s="12">
        <v>0</v>
      </c>
      <c r="E17" s="32">
        <v>5</v>
      </c>
      <c r="F17" s="32">
        <v>0</v>
      </c>
      <c r="G17" s="186">
        <v>8</v>
      </c>
      <c r="H17" s="103">
        <f t="shared" si="0"/>
        <v>13</v>
      </c>
    </row>
    <row r="18" spans="1:8" ht="19.5" customHeight="1">
      <c r="A18" s="65">
        <v>17</v>
      </c>
      <c r="B18" s="60" t="s">
        <v>29</v>
      </c>
      <c r="C18" s="61" t="s">
        <v>30</v>
      </c>
      <c r="D18" s="12">
        <v>6</v>
      </c>
      <c r="E18" s="32">
        <v>0</v>
      </c>
      <c r="F18" s="32">
        <v>10</v>
      </c>
      <c r="G18" s="162">
        <v>0</v>
      </c>
      <c r="H18" s="103">
        <f t="shared" si="0"/>
        <v>16</v>
      </c>
    </row>
    <row r="19" spans="1:8" ht="19.5" customHeight="1">
      <c r="A19" s="65">
        <v>18</v>
      </c>
      <c r="B19" s="60" t="s">
        <v>32</v>
      </c>
      <c r="C19" s="61" t="s">
        <v>33</v>
      </c>
      <c r="D19" s="12">
        <f>76+111</f>
        <v>187</v>
      </c>
      <c r="E19" s="32">
        <f>59+68</f>
        <v>127</v>
      </c>
      <c r="F19" s="32">
        <f>66+37</f>
        <v>103</v>
      </c>
      <c r="G19" s="164">
        <f>160+10</f>
        <v>170</v>
      </c>
      <c r="H19" s="103">
        <f t="shared" si="0"/>
        <v>587</v>
      </c>
    </row>
    <row r="20" spans="1:8" ht="19.5" customHeight="1">
      <c r="A20" s="65">
        <v>19</v>
      </c>
      <c r="B20" s="60" t="s">
        <v>34</v>
      </c>
      <c r="C20" s="61" t="s">
        <v>35</v>
      </c>
      <c r="D20" s="12">
        <v>5</v>
      </c>
      <c r="E20" s="32">
        <v>6</v>
      </c>
      <c r="F20" s="32">
        <v>8</v>
      </c>
      <c r="G20" s="162">
        <v>6</v>
      </c>
      <c r="H20" s="103">
        <f t="shared" si="0"/>
        <v>25</v>
      </c>
    </row>
    <row r="21" spans="1:8" ht="19.5" customHeight="1" thickBot="1">
      <c r="A21" s="69">
        <v>20</v>
      </c>
      <c r="B21" s="62" t="s">
        <v>36</v>
      </c>
      <c r="C21" s="63" t="s">
        <v>31</v>
      </c>
      <c r="D21" s="135">
        <v>140</v>
      </c>
      <c r="E21" s="33">
        <v>120</v>
      </c>
      <c r="F21" s="33">
        <v>80</v>
      </c>
      <c r="G21" s="167">
        <f>70+97+50</f>
        <v>217</v>
      </c>
      <c r="H21" s="104">
        <f t="shared" si="0"/>
        <v>557</v>
      </c>
    </row>
    <row r="22" spans="1:8" ht="15.75">
      <c r="A22" s="22"/>
      <c r="B22" s="109" t="s">
        <v>452</v>
      </c>
      <c r="C22" s="111"/>
      <c r="D22" s="112"/>
      <c r="E22" s="110"/>
      <c r="F22" s="108"/>
      <c r="G22" s="108"/>
      <c r="H22" s="116">
        <f>SUM(D22:G22)</f>
        <v>0</v>
      </c>
    </row>
    <row r="23" spans="1:8" ht="16.5" thickBot="1">
      <c r="A23" s="22"/>
      <c r="B23" s="109"/>
      <c r="C23" s="111"/>
      <c r="D23" s="112"/>
      <c r="E23" s="110"/>
      <c r="F23" s="108"/>
      <c r="G23" s="108"/>
      <c r="H23" s="111"/>
    </row>
    <row r="24" spans="1:8" s="29" customFormat="1" ht="16.5" thickBot="1">
      <c r="A24" s="28"/>
      <c r="B24" s="119" t="s">
        <v>352</v>
      </c>
      <c r="D24" s="19">
        <f>SUM(D2:D22)</f>
        <v>687</v>
      </c>
      <c r="E24" s="19">
        <f>SUM(E2:E21)</f>
        <v>762</v>
      </c>
      <c r="F24" s="19">
        <f>SUM(F2:F21)</f>
        <v>760</v>
      </c>
      <c r="G24" s="19">
        <f>SUM(G2:G22)</f>
        <v>1034</v>
      </c>
      <c r="H24" s="118">
        <f>SUM(H2:H22)</f>
        <v>3243</v>
      </c>
    </row>
    <row r="26" ht="12.75">
      <c r="D26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8" r:id="rId1"/>
  <headerFooter alignWithMargins="0">
    <oddHeader>&amp;C&amp;"Arial,Tučné"&amp;16Sběr 2008 - 2009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M8" sqref="M8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353</v>
      </c>
      <c r="B1" s="10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64">
        <v>1</v>
      </c>
      <c r="B2" s="58" t="s">
        <v>38</v>
      </c>
      <c r="C2" s="59" t="s">
        <v>13</v>
      </c>
      <c r="D2" s="11">
        <v>0</v>
      </c>
      <c r="E2" s="31">
        <v>0</v>
      </c>
      <c r="F2" s="31">
        <v>16</v>
      </c>
      <c r="G2" s="161">
        <v>8</v>
      </c>
      <c r="H2" s="102">
        <f>SUM(D2:G2)</f>
        <v>24</v>
      </c>
    </row>
    <row r="3" spans="1:8" ht="19.5" customHeight="1">
      <c r="A3" s="65">
        <v>2</v>
      </c>
      <c r="B3" s="60" t="s">
        <v>39</v>
      </c>
      <c r="C3" s="61" t="s">
        <v>17</v>
      </c>
      <c r="D3" s="12">
        <f>67+40+67</f>
        <v>174</v>
      </c>
      <c r="E3" s="32">
        <f>187+60</f>
        <v>247</v>
      </c>
      <c r="F3" s="32">
        <f>212+30</f>
        <v>242</v>
      </c>
      <c r="G3" s="162">
        <v>90</v>
      </c>
      <c r="H3" s="103">
        <f aca="true" t="shared" si="0" ref="H3:H21">SUM(D3:G3)</f>
        <v>753</v>
      </c>
    </row>
    <row r="4" spans="1:8" ht="19.5" customHeight="1">
      <c r="A4" s="70">
        <v>3</v>
      </c>
      <c r="B4" s="60" t="s">
        <v>390</v>
      </c>
      <c r="C4" s="61" t="s">
        <v>33</v>
      </c>
      <c r="D4" s="12">
        <v>0</v>
      </c>
      <c r="E4" s="32">
        <v>45</v>
      </c>
      <c r="F4" s="32">
        <v>0</v>
      </c>
      <c r="G4" s="162">
        <v>0</v>
      </c>
      <c r="H4" s="103">
        <f t="shared" si="0"/>
        <v>45</v>
      </c>
    </row>
    <row r="5" spans="1:8" ht="19.5" customHeight="1">
      <c r="A5" s="65">
        <v>4</v>
      </c>
      <c r="B5" s="60" t="s">
        <v>40</v>
      </c>
      <c r="C5" s="61" t="s">
        <v>41</v>
      </c>
      <c r="D5" s="12">
        <v>8</v>
      </c>
      <c r="E5" s="32">
        <v>40</v>
      </c>
      <c r="F5" s="32">
        <v>18</v>
      </c>
      <c r="G5" s="162">
        <f>6+12</f>
        <v>18</v>
      </c>
      <c r="H5" s="103">
        <f t="shared" si="0"/>
        <v>84</v>
      </c>
    </row>
    <row r="6" spans="1:8" ht="19.5" customHeight="1">
      <c r="A6" s="70">
        <v>5</v>
      </c>
      <c r="B6" s="60" t="s">
        <v>42</v>
      </c>
      <c r="C6" s="61" t="s">
        <v>31</v>
      </c>
      <c r="D6" s="134">
        <v>220</v>
      </c>
      <c r="E6" s="32">
        <f>74+76+70</f>
        <v>220</v>
      </c>
      <c r="F6" s="155">
        <f>70+500</f>
        <v>570</v>
      </c>
      <c r="G6" s="164">
        <v>280</v>
      </c>
      <c r="H6" s="103">
        <f t="shared" si="0"/>
        <v>1290</v>
      </c>
    </row>
    <row r="7" spans="1:8" ht="19.5" customHeight="1">
      <c r="A7" s="65">
        <v>6</v>
      </c>
      <c r="B7" s="60" t="s">
        <v>43</v>
      </c>
      <c r="C7" s="61" t="s">
        <v>44</v>
      </c>
      <c r="D7" s="12">
        <v>68</v>
      </c>
      <c r="E7" s="32">
        <v>39</v>
      </c>
      <c r="F7" s="32">
        <v>22</v>
      </c>
      <c r="G7" s="162">
        <v>13</v>
      </c>
      <c r="H7" s="103">
        <f t="shared" si="0"/>
        <v>142</v>
      </c>
    </row>
    <row r="8" spans="1:8" ht="19.5" customHeight="1">
      <c r="A8" s="70">
        <v>7</v>
      </c>
      <c r="B8" s="60" t="s">
        <v>45</v>
      </c>
      <c r="C8" s="61" t="s">
        <v>46</v>
      </c>
      <c r="D8" s="12">
        <v>0</v>
      </c>
      <c r="E8" s="32">
        <v>49</v>
      </c>
      <c r="F8" s="32">
        <v>0</v>
      </c>
      <c r="G8" s="162">
        <v>25</v>
      </c>
      <c r="H8" s="103">
        <f t="shared" si="0"/>
        <v>74</v>
      </c>
    </row>
    <row r="9" spans="1:8" ht="19.5" customHeight="1">
      <c r="A9" s="65">
        <v>8</v>
      </c>
      <c r="B9" s="60" t="s">
        <v>47</v>
      </c>
      <c r="C9" s="61" t="s">
        <v>48</v>
      </c>
      <c r="D9" s="12">
        <v>2</v>
      </c>
      <c r="E9" s="32">
        <v>7</v>
      </c>
      <c r="F9" s="32">
        <v>12</v>
      </c>
      <c r="G9" s="162">
        <v>27</v>
      </c>
      <c r="H9" s="103">
        <f t="shared" si="0"/>
        <v>48</v>
      </c>
    </row>
    <row r="10" spans="1:8" ht="19.5" customHeight="1">
      <c r="A10" s="70">
        <v>9</v>
      </c>
      <c r="B10" s="60" t="s">
        <v>49</v>
      </c>
      <c r="C10" s="61" t="s">
        <v>50</v>
      </c>
      <c r="D10" s="12">
        <v>15</v>
      </c>
      <c r="E10" s="32">
        <v>45</v>
      </c>
      <c r="F10" s="32">
        <v>30</v>
      </c>
      <c r="G10" s="162">
        <v>20</v>
      </c>
      <c r="H10" s="103">
        <f t="shared" si="0"/>
        <v>110</v>
      </c>
    </row>
    <row r="11" spans="1:8" ht="19.5" customHeight="1">
      <c r="A11" s="65">
        <v>10</v>
      </c>
      <c r="B11" s="60" t="s">
        <v>51</v>
      </c>
      <c r="C11" s="61" t="s">
        <v>52</v>
      </c>
      <c r="D11" s="12">
        <v>19</v>
      </c>
      <c r="E11" s="32">
        <v>42</v>
      </c>
      <c r="F11" s="32">
        <v>0</v>
      </c>
      <c r="G11" s="162">
        <v>17</v>
      </c>
      <c r="H11" s="103">
        <f t="shared" si="0"/>
        <v>78</v>
      </c>
    </row>
    <row r="12" spans="1:8" ht="19.5" customHeight="1">
      <c r="A12" s="70">
        <v>11</v>
      </c>
      <c r="B12" s="60" t="s">
        <v>54</v>
      </c>
      <c r="C12" s="61" t="s">
        <v>55</v>
      </c>
      <c r="D12" s="12">
        <v>11</v>
      </c>
      <c r="E12" s="32">
        <v>11</v>
      </c>
      <c r="F12" s="32">
        <v>8</v>
      </c>
      <c r="G12" s="162">
        <v>9</v>
      </c>
      <c r="H12" s="103">
        <f t="shared" si="0"/>
        <v>39</v>
      </c>
    </row>
    <row r="13" spans="1:8" ht="19.5" customHeight="1">
      <c r="A13" s="65">
        <v>12</v>
      </c>
      <c r="B13" s="60" t="s">
        <v>56</v>
      </c>
      <c r="C13" s="61" t="s">
        <v>57</v>
      </c>
      <c r="D13" s="12">
        <f>61+81</f>
        <v>142</v>
      </c>
      <c r="E13" s="32">
        <v>13</v>
      </c>
      <c r="F13" s="155">
        <v>580</v>
      </c>
      <c r="G13" s="162">
        <v>0</v>
      </c>
      <c r="H13" s="103">
        <f t="shared" si="0"/>
        <v>735</v>
      </c>
    </row>
    <row r="14" spans="1:8" ht="19.5" customHeight="1">
      <c r="A14" s="70">
        <v>13</v>
      </c>
      <c r="B14" s="60" t="s">
        <v>58</v>
      </c>
      <c r="C14" s="61" t="s">
        <v>59</v>
      </c>
      <c r="D14" s="12">
        <v>5</v>
      </c>
      <c r="E14" s="32">
        <v>0</v>
      </c>
      <c r="F14" s="32">
        <v>0</v>
      </c>
      <c r="G14" s="162">
        <v>20</v>
      </c>
      <c r="H14" s="103">
        <f t="shared" si="0"/>
        <v>25</v>
      </c>
    </row>
    <row r="15" spans="1:8" ht="19.5" customHeight="1">
      <c r="A15" s="65">
        <v>14</v>
      </c>
      <c r="B15" s="60" t="s">
        <v>60</v>
      </c>
      <c r="C15" s="61" t="s">
        <v>61</v>
      </c>
      <c r="D15" s="12">
        <v>6</v>
      </c>
      <c r="E15" s="32">
        <v>1</v>
      </c>
      <c r="F15" s="155">
        <v>500</v>
      </c>
      <c r="G15" s="164">
        <f>225+6</f>
        <v>231</v>
      </c>
      <c r="H15" s="103">
        <f t="shared" si="0"/>
        <v>738</v>
      </c>
    </row>
    <row r="16" spans="1:8" ht="19.5" customHeight="1">
      <c r="A16" s="70">
        <v>15</v>
      </c>
      <c r="B16" s="60" t="s">
        <v>62</v>
      </c>
      <c r="C16" s="61" t="s">
        <v>44</v>
      </c>
      <c r="D16" s="12">
        <v>10</v>
      </c>
      <c r="E16" s="32">
        <v>1</v>
      </c>
      <c r="F16" s="32">
        <v>0</v>
      </c>
      <c r="G16" s="162">
        <v>8</v>
      </c>
      <c r="H16" s="103">
        <f t="shared" si="0"/>
        <v>19</v>
      </c>
    </row>
    <row r="17" spans="1:8" ht="19.5" customHeight="1">
      <c r="A17" s="65">
        <v>16</v>
      </c>
      <c r="B17" s="60" t="s">
        <v>63</v>
      </c>
      <c r="C17" s="61" t="s">
        <v>64</v>
      </c>
      <c r="D17" s="12">
        <v>0</v>
      </c>
      <c r="E17" s="32">
        <v>26</v>
      </c>
      <c r="F17" s="32">
        <v>0</v>
      </c>
      <c r="G17" s="164">
        <v>20</v>
      </c>
      <c r="H17" s="103">
        <f t="shared" si="0"/>
        <v>46</v>
      </c>
    </row>
    <row r="18" spans="1:8" ht="19.5" customHeight="1">
      <c r="A18" s="70">
        <v>17</v>
      </c>
      <c r="B18" s="60" t="s">
        <v>65</v>
      </c>
      <c r="C18" s="61" t="s">
        <v>66</v>
      </c>
      <c r="D18" s="12">
        <v>12</v>
      </c>
      <c r="E18" s="32">
        <v>3</v>
      </c>
      <c r="F18" s="32">
        <v>12</v>
      </c>
      <c r="G18" s="162">
        <v>9</v>
      </c>
      <c r="H18" s="103">
        <f t="shared" si="0"/>
        <v>36</v>
      </c>
    </row>
    <row r="19" spans="1:8" ht="19.5" customHeight="1">
      <c r="A19" s="70">
        <v>18</v>
      </c>
      <c r="B19" s="60" t="s">
        <v>67</v>
      </c>
      <c r="C19" s="61" t="s">
        <v>17</v>
      </c>
      <c r="D19" s="12">
        <v>7</v>
      </c>
      <c r="E19" s="32">
        <v>16</v>
      </c>
      <c r="F19" s="32">
        <v>6</v>
      </c>
      <c r="G19" s="162">
        <v>12</v>
      </c>
      <c r="H19" s="103">
        <f t="shared" si="0"/>
        <v>41</v>
      </c>
    </row>
    <row r="20" spans="1:8" ht="19.5" customHeight="1">
      <c r="A20" s="89">
        <v>19</v>
      </c>
      <c r="B20" s="90" t="s">
        <v>68</v>
      </c>
      <c r="C20" s="91" t="s">
        <v>41</v>
      </c>
      <c r="D20" s="13">
        <v>196</v>
      </c>
      <c r="E20" s="34">
        <f>29+44+63</f>
        <v>136</v>
      </c>
      <c r="F20" s="34">
        <v>124</v>
      </c>
      <c r="G20" s="168">
        <v>128</v>
      </c>
      <c r="H20" s="103">
        <f t="shared" si="0"/>
        <v>584</v>
      </c>
    </row>
    <row r="21" spans="1:8" ht="19.5" customHeight="1" thickBot="1">
      <c r="A21" s="69">
        <v>20</v>
      </c>
      <c r="B21" s="62" t="s">
        <v>449</v>
      </c>
      <c r="C21" s="63" t="s">
        <v>21</v>
      </c>
      <c r="D21" s="14">
        <v>0</v>
      </c>
      <c r="E21" s="33">
        <v>0</v>
      </c>
      <c r="F21" s="33">
        <v>0</v>
      </c>
      <c r="G21" s="167">
        <v>0</v>
      </c>
      <c r="H21" s="104">
        <f t="shared" si="0"/>
        <v>0</v>
      </c>
    </row>
    <row r="22" spans="1:8" s="105" customFormat="1" ht="15.75">
      <c r="A22" s="113"/>
      <c r="B22" s="109" t="s">
        <v>452</v>
      </c>
      <c r="D22" s="106">
        <v>31</v>
      </c>
      <c r="E22" s="137">
        <v>13</v>
      </c>
      <c r="F22" s="106">
        <v>19</v>
      </c>
      <c r="G22" s="106">
        <v>3</v>
      </c>
      <c r="H22" s="106">
        <f>SUM(D22:G22)</f>
        <v>66</v>
      </c>
    </row>
    <row r="23" spans="4:8" ht="15.75" thickBot="1">
      <c r="D23" s="18"/>
      <c r="E23" s="15"/>
      <c r="F23" s="26"/>
      <c r="G23" s="26"/>
      <c r="H23" s="21"/>
    </row>
    <row r="24" spans="1:8" s="29" customFormat="1" ht="16.5" thickBot="1">
      <c r="A24" s="28"/>
      <c r="B24" s="119" t="s">
        <v>352</v>
      </c>
      <c r="D24" s="19">
        <f>SUM(D2:D22)</f>
        <v>926</v>
      </c>
      <c r="E24" s="19">
        <f>SUM(E2:E22)</f>
        <v>954</v>
      </c>
      <c r="F24" s="19">
        <f>SUM(F2:F22)</f>
        <v>2159</v>
      </c>
      <c r="G24" s="19">
        <f>SUM(G2:G22)</f>
        <v>938</v>
      </c>
      <c r="H24" s="118">
        <f>SUM(H2:H22)</f>
        <v>4977</v>
      </c>
    </row>
    <row r="25" ht="12.75">
      <c r="H25" s="21"/>
    </row>
    <row r="26" spans="2:8" ht="12.75">
      <c r="B26" s="20"/>
      <c r="D26" s="15"/>
      <c r="H26" s="21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8" r:id="rId1"/>
  <headerFooter alignWithMargins="0">
    <oddHeader>&amp;C&amp;"Arial,Tučné"&amp;16Sběr 2008 - 2009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J14" sqref="J1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153</v>
      </c>
      <c r="B1" s="10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64">
        <v>1</v>
      </c>
      <c r="B2" s="58" t="s">
        <v>71</v>
      </c>
      <c r="C2" s="59" t="s">
        <v>4</v>
      </c>
      <c r="D2" s="136">
        <f>240+30</f>
        <v>270</v>
      </c>
      <c r="E2" s="31">
        <f>94+100</f>
        <v>194</v>
      </c>
      <c r="F2" s="169">
        <v>80</v>
      </c>
      <c r="G2" s="170">
        <v>220</v>
      </c>
      <c r="H2" s="102">
        <f>SUM(D2:G2)</f>
        <v>764</v>
      </c>
    </row>
    <row r="3" spans="1:8" ht="19.5" customHeight="1">
      <c r="A3" s="65">
        <v>2</v>
      </c>
      <c r="B3" s="60" t="s">
        <v>391</v>
      </c>
      <c r="C3" s="61" t="s">
        <v>392</v>
      </c>
      <c r="D3" s="134">
        <v>200</v>
      </c>
      <c r="E3" s="32">
        <v>180</v>
      </c>
      <c r="F3" s="155">
        <v>200</v>
      </c>
      <c r="G3" s="164">
        <v>100</v>
      </c>
      <c r="H3" s="103">
        <f aca="true" t="shared" si="0" ref="H3:H24">SUM(D3:G3)</f>
        <v>680</v>
      </c>
    </row>
    <row r="4" spans="1:8" ht="19.5" customHeight="1">
      <c r="A4" s="70">
        <v>3</v>
      </c>
      <c r="B4" s="60" t="s">
        <v>72</v>
      </c>
      <c r="C4" s="61" t="s">
        <v>24</v>
      </c>
      <c r="D4" s="12">
        <v>52</v>
      </c>
      <c r="E4" s="32">
        <v>0</v>
      </c>
      <c r="F4" s="32">
        <v>0</v>
      </c>
      <c r="G4" s="162">
        <v>0</v>
      </c>
      <c r="H4" s="103">
        <f t="shared" si="0"/>
        <v>52</v>
      </c>
    </row>
    <row r="5" spans="1:8" ht="19.5" customHeight="1">
      <c r="A5" s="65">
        <v>4</v>
      </c>
      <c r="B5" s="60" t="s">
        <v>73</v>
      </c>
      <c r="C5" s="61" t="s">
        <v>17</v>
      </c>
      <c r="D5" s="12">
        <v>30</v>
      </c>
      <c r="E5" s="32">
        <v>0</v>
      </c>
      <c r="F5" s="32">
        <v>30</v>
      </c>
      <c r="G5" s="162">
        <v>15</v>
      </c>
      <c r="H5" s="103">
        <f t="shared" si="0"/>
        <v>75</v>
      </c>
    </row>
    <row r="6" spans="1:8" ht="19.5" customHeight="1">
      <c r="A6" s="70">
        <v>5</v>
      </c>
      <c r="B6" s="60" t="s">
        <v>74</v>
      </c>
      <c r="C6" s="61" t="s">
        <v>17</v>
      </c>
      <c r="D6" s="12">
        <v>8</v>
      </c>
      <c r="E6" s="32">
        <v>0</v>
      </c>
      <c r="F6" s="32">
        <v>10</v>
      </c>
      <c r="G6" s="162">
        <v>10</v>
      </c>
      <c r="H6" s="103">
        <f t="shared" si="0"/>
        <v>28</v>
      </c>
    </row>
    <row r="7" spans="1:8" ht="19.5" customHeight="1">
      <c r="A7" s="65">
        <v>6</v>
      </c>
      <c r="B7" s="60" t="s">
        <v>75</v>
      </c>
      <c r="C7" s="61" t="s">
        <v>76</v>
      </c>
      <c r="D7" s="12">
        <v>95</v>
      </c>
      <c r="E7" s="32">
        <v>190</v>
      </c>
      <c r="F7" s="32">
        <v>100</v>
      </c>
      <c r="G7" s="162">
        <v>120</v>
      </c>
      <c r="H7" s="103">
        <f t="shared" si="0"/>
        <v>505</v>
      </c>
    </row>
    <row r="8" spans="1:8" ht="19.5" customHeight="1">
      <c r="A8" s="70">
        <v>7</v>
      </c>
      <c r="B8" s="60" t="s">
        <v>77</v>
      </c>
      <c r="C8" s="61" t="s">
        <v>41</v>
      </c>
      <c r="D8" s="12">
        <v>18</v>
      </c>
      <c r="E8" s="32">
        <v>0</v>
      </c>
      <c r="F8" s="32">
        <v>0</v>
      </c>
      <c r="G8" s="162">
        <v>6</v>
      </c>
      <c r="H8" s="103">
        <f t="shared" si="0"/>
        <v>24</v>
      </c>
    </row>
    <row r="9" spans="1:8" ht="19.5" customHeight="1">
      <c r="A9" s="65">
        <v>8</v>
      </c>
      <c r="B9" s="60" t="s">
        <v>78</v>
      </c>
      <c r="C9" s="61" t="s">
        <v>4</v>
      </c>
      <c r="D9" s="12">
        <f>75+84+62+105+29</f>
        <v>355</v>
      </c>
      <c r="E9" s="32">
        <f>105+10</f>
        <v>115</v>
      </c>
      <c r="F9" s="32">
        <f>97+104+45</f>
        <v>246</v>
      </c>
      <c r="G9" s="162">
        <f>140+77</f>
        <v>217</v>
      </c>
      <c r="H9" s="103">
        <f t="shared" si="0"/>
        <v>933</v>
      </c>
    </row>
    <row r="10" spans="1:8" ht="19.5" customHeight="1">
      <c r="A10" s="70">
        <v>9</v>
      </c>
      <c r="B10" s="60" t="s">
        <v>79</v>
      </c>
      <c r="C10" s="61" t="s">
        <v>80</v>
      </c>
      <c r="D10" s="12">
        <v>50</v>
      </c>
      <c r="E10" s="32">
        <v>0</v>
      </c>
      <c r="F10" s="32">
        <v>3</v>
      </c>
      <c r="G10" s="162">
        <v>0</v>
      </c>
      <c r="H10" s="103">
        <f t="shared" si="0"/>
        <v>53</v>
      </c>
    </row>
    <row r="11" spans="1:8" ht="19.5" customHeight="1">
      <c r="A11" s="65">
        <v>10</v>
      </c>
      <c r="B11" s="60" t="s">
        <v>81</v>
      </c>
      <c r="C11" s="61" t="s">
        <v>4</v>
      </c>
      <c r="D11" s="12">
        <f>75+101+92</f>
        <v>268</v>
      </c>
      <c r="E11" s="32">
        <v>49</v>
      </c>
      <c r="F11" s="32">
        <v>0</v>
      </c>
      <c r="G11" s="162">
        <v>9</v>
      </c>
      <c r="H11" s="103">
        <f t="shared" si="0"/>
        <v>326</v>
      </c>
    </row>
    <row r="12" spans="1:8" ht="19.5" customHeight="1">
      <c r="A12" s="70">
        <v>11</v>
      </c>
      <c r="B12" s="60" t="s">
        <v>82</v>
      </c>
      <c r="C12" s="61" t="s">
        <v>59</v>
      </c>
      <c r="D12" s="12">
        <f>50+16</f>
        <v>66</v>
      </c>
      <c r="E12" s="32">
        <v>8</v>
      </c>
      <c r="F12" s="32">
        <v>0</v>
      </c>
      <c r="G12" s="162">
        <f>93+24</f>
        <v>117</v>
      </c>
      <c r="H12" s="103">
        <f t="shared" si="0"/>
        <v>191</v>
      </c>
    </row>
    <row r="13" spans="1:8" ht="19.5" customHeight="1">
      <c r="A13" s="65">
        <v>12</v>
      </c>
      <c r="B13" s="60" t="s">
        <v>16</v>
      </c>
      <c r="C13" s="61" t="s">
        <v>83</v>
      </c>
      <c r="D13" s="12">
        <v>41</v>
      </c>
      <c r="E13" s="32">
        <v>0</v>
      </c>
      <c r="F13" s="32">
        <f>8+49+5</f>
        <v>62</v>
      </c>
      <c r="G13" s="162">
        <f>20+11</f>
        <v>31</v>
      </c>
      <c r="H13" s="103">
        <f t="shared" si="0"/>
        <v>134</v>
      </c>
    </row>
    <row r="14" spans="1:8" ht="19.5" customHeight="1">
      <c r="A14" s="70">
        <v>13</v>
      </c>
      <c r="B14" s="60" t="s">
        <v>84</v>
      </c>
      <c r="C14" s="61" t="s">
        <v>85</v>
      </c>
      <c r="D14" s="12">
        <v>5</v>
      </c>
      <c r="E14" s="32">
        <v>0</v>
      </c>
      <c r="F14" s="32">
        <v>2</v>
      </c>
      <c r="G14" s="162">
        <v>5</v>
      </c>
      <c r="H14" s="103">
        <f t="shared" si="0"/>
        <v>12</v>
      </c>
    </row>
    <row r="15" spans="1:8" ht="19.5" customHeight="1">
      <c r="A15" s="65">
        <v>14</v>
      </c>
      <c r="B15" s="60" t="s">
        <v>86</v>
      </c>
      <c r="C15" s="61" t="s">
        <v>31</v>
      </c>
      <c r="D15" s="12">
        <v>0</v>
      </c>
      <c r="E15" s="32">
        <v>0</v>
      </c>
      <c r="F15" s="32">
        <v>0</v>
      </c>
      <c r="G15" s="162">
        <v>0</v>
      </c>
      <c r="H15" s="103">
        <f t="shared" si="0"/>
        <v>0</v>
      </c>
    </row>
    <row r="16" spans="1:8" ht="19.5" customHeight="1">
      <c r="A16" s="70">
        <v>15</v>
      </c>
      <c r="B16" s="60" t="s">
        <v>87</v>
      </c>
      <c r="C16" s="61" t="s">
        <v>88</v>
      </c>
      <c r="D16" s="12">
        <v>14</v>
      </c>
      <c r="E16" s="32">
        <v>5</v>
      </c>
      <c r="F16" s="32">
        <v>9</v>
      </c>
      <c r="G16" s="162">
        <v>5</v>
      </c>
      <c r="H16" s="103">
        <f t="shared" si="0"/>
        <v>33</v>
      </c>
    </row>
    <row r="17" spans="1:8" ht="19.5" customHeight="1">
      <c r="A17" s="65">
        <v>16</v>
      </c>
      <c r="B17" s="60" t="s">
        <v>89</v>
      </c>
      <c r="C17" s="61" t="s">
        <v>90</v>
      </c>
      <c r="D17" s="12">
        <v>29</v>
      </c>
      <c r="E17" s="32">
        <v>0</v>
      </c>
      <c r="F17" s="32">
        <v>14</v>
      </c>
      <c r="G17" s="162">
        <v>0</v>
      </c>
      <c r="H17" s="103">
        <f t="shared" si="0"/>
        <v>43</v>
      </c>
    </row>
    <row r="18" spans="1:8" ht="19.5" customHeight="1">
      <c r="A18" s="70">
        <v>17</v>
      </c>
      <c r="B18" s="60" t="s">
        <v>91</v>
      </c>
      <c r="C18" s="61" t="s">
        <v>41</v>
      </c>
      <c r="D18" s="12">
        <v>13</v>
      </c>
      <c r="E18" s="32">
        <v>4</v>
      </c>
      <c r="F18" s="32">
        <v>0</v>
      </c>
      <c r="G18" s="162">
        <v>0</v>
      </c>
      <c r="H18" s="103">
        <f t="shared" si="0"/>
        <v>17</v>
      </c>
    </row>
    <row r="19" spans="1:8" ht="19.5" customHeight="1">
      <c r="A19" s="65">
        <v>18</v>
      </c>
      <c r="B19" s="60" t="s">
        <v>92</v>
      </c>
      <c r="C19" s="61" t="s">
        <v>66</v>
      </c>
      <c r="D19" s="12">
        <v>0</v>
      </c>
      <c r="E19" s="32">
        <v>9</v>
      </c>
      <c r="F19" s="32">
        <v>0</v>
      </c>
      <c r="G19" s="162">
        <v>0</v>
      </c>
      <c r="H19" s="103">
        <f t="shared" si="0"/>
        <v>9</v>
      </c>
    </row>
    <row r="20" spans="1:8" ht="19.5" customHeight="1">
      <c r="A20" s="70">
        <v>19</v>
      </c>
      <c r="B20" s="60" t="s">
        <v>93</v>
      </c>
      <c r="C20" s="61" t="s">
        <v>24</v>
      </c>
      <c r="D20" s="12">
        <v>10</v>
      </c>
      <c r="E20" s="32">
        <v>12</v>
      </c>
      <c r="F20" s="32">
        <v>20</v>
      </c>
      <c r="G20" s="162">
        <v>6</v>
      </c>
      <c r="H20" s="103">
        <f t="shared" si="0"/>
        <v>48</v>
      </c>
    </row>
    <row r="21" spans="1:8" ht="19.5" customHeight="1">
      <c r="A21" s="65">
        <v>20</v>
      </c>
      <c r="B21" s="60" t="s">
        <v>94</v>
      </c>
      <c r="C21" s="61" t="s">
        <v>23</v>
      </c>
      <c r="D21" s="12">
        <v>23</v>
      </c>
      <c r="E21" s="32">
        <v>11</v>
      </c>
      <c r="F21" s="32">
        <v>29</v>
      </c>
      <c r="G21" s="162">
        <v>14</v>
      </c>
      <c r="H21" s="103">
        <f t="shared" si="0"/>
        <v>77</v>
      </c>
    </row>
    <row r="22" spans="1:8" ht="19.5" customHeight="1">
      <c r="A22" s="70">
        <v>21</v>
      </c>
      <c r="B22" s="60" t="s">
        <v>96</v>
      </c>
      <c r="C22" s="61" t="s">
        <v>97</v>
      </c>
      <c r="D22" s="12">
        <v>38</v>
      </c>
      <c r="E22" s="32">
        <v>57</v>
      </c>
      <c r="F22" s="32">
        <v>9</v>
      </c>
      <c r="G22" s="162">
        <f>26+17</f>
        <v>43</v>
      </c>
      <c r="H22" s="103">
        <f t="shared" si="0"/>
        <v>147</v>
      </c>
    </row>
    <row r="23" spans="1:8" ht="19.5" customHeight="1">
      <c r="A23" s="65">
        <v>22</v>
      </c>
      <c r="B23" s="60" t="s">
        <v>98</v>
      </c>
      <c r="C23" s="61" t="s">
        <v>99</v>
      </c>
      <c r="D23" s="13">
        <v>4</v>
      </c>
      <c r="E23" s="34">
        <v>0</v>
      </c>
      <c r="F23" s="34">
        <v>0</v>
      </c>
      <c r="G23" s="168">
        <v>0</v>
      </c>
      <c r="H23" s="103">
        <f t="shared" si="0"/>
        <v>4</v>
      </c>
    </row>
    <row r="24" spans="1:8" ht="19.5" customHeight="1" thickBot="1">
      <c r="A24" s="69">
        <v>23</v>
      </c>
      <c r="B24" s="62" t="s">
        <v>100</v>
      </c>
      <c r="C24" s="63" t="s">
        <v>55</v>
      </c>
      <c r="D24" s="14">
        <v>6</v>
      </c>
      <c r="E24" s="33">
        <v>0</v>
      </c>
      <c r="F24" s="33">
        <v>0</v>
      </c>
      <c r="G24" s="167">
        <v>32</v>
      </c>
      <c r="H24" s="104">
        <f t="shared" si="0"/>
        <v>38</v>
      </c>
    </row>
    <row r="25" spans="1:8" s="105" customFormat="1" ht="15.75">
      <c r="A25" s="113"/>
      <c r="B25" s="109" t="s">
        <v>452</v>
      </c>
      <c r="D25" s="106"/>
      <c r="E25" s="108"/>
      <c r="F25" s="110"/>
      <c r="G25" s="106"/>
      <c r="H25" s="106">
        <f>SUM(D25:G25)</f>
        <v>0</v>
      </c>
    </row>
    <row r="26" spans="4:7" ht="15.75" thickBot="1">
      <c r="D26" s="18"/>
      <c r="E26" s="26"/>
      <c r="F26" s="26"/>
      <c r="G26" s="26"/>
    </row>
    <row r="27" spans="1:8" s="29" customFormat="1" ht="16.5" thickBot="1">
      <c r="A27" s="28"/>
      <c r="B27" s="119" t="s">
        <v>352</v>
      </c>
      <c r="D27" s="19">
        <f>SUM(D2:D26)</f>
        <v>1595</v>
      </c>
      <c r="E27" s="19">
        <f>SUM(E2:E24)</f>
        <v>834</v>
      </c>
      <c r="F27" s="19">
        <f>SUM(F2:F24)</f>
        <v>814</v>
      </c>
      <c r="G27" s="19">
        <f>SUM(G2:G25)</f>
        <v>950</v>
      </c>
      <c r="H27" s="118">
        <f>SUM(H2:H25)</f>
        <v>4193</v>
      </c>
    </row>
    <row r="28" spans="5:7" ht="12.75">
      <c r="E28" s="15"/>
      <c r="G28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2008 - 2009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H36" sqref="H36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402</v>
      </c>
      <c r="B1" s="10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64">
        <v>1</v>
      </c>
      <c r="B2" s="71" t="s">
        <v>102</v>
      </c>
      <c r="C2" s="72" t="s">
        <v>66</v>
      </c>
      <c r="D2" s="11">
        <v>27</v>
      </c>
      <c r="E2" s="31">
        <f>30+4</f>
        <v>34</v>
      </c>
      <c r="F2" s="31">
        <v>0</v>
      </c>
      <c r="G2" s="161">
        <v>0</v>
      </c>
      <c r="H2" s="102">
        <f>SUM(D2:G2)</f>
        <v>61</v>
      </c>
    </row>
    <row r="3" spans="1:8" ht="19.5" customHeight="1">
      <c r="A3" s="65">
        <v>2</v>
      </c>
      <c r="B3" s="73" t="s">
        <v>103</v>
      </c>
      <c r="C3" s="74" t="s">
        <v>53</v>
      </c>
      <c r="D3" s="12">
        <v>95</v>
      </c>
      <c r="E3" s="32">
        <v>9</v>
      </c>
      <c r="F3" s="32">
        <v>72</v>
      </c>
      <c r="G3" s="162">
        <v>48</v>
      </c>
      <c r="H3" s="103">
        <f aca="true" t="shared" si="0" ref="H3:H22">SUM(D3:G3)</f>
        <v>224</v>
      </c>
    </row>
    <row r="4" spans="1:8" ht="19.5" customHeight="1">
      <c r="A4" s="70">
        <v>3</v>
      </c>
      <c r="B4" s="73" t="s">
        <v>104</v>
      </c>
      <c r="C4" s="74" t="s">
        <v>4</v>
      </c>
      <c r="D4" s="12">
        <v>18</v>
      </c>
      <c r="E4" s="32">
        <v>9</v>
      </c>
      <c r="F4" s="32">
        <v>7</v>
      </c>
      <c r="G4" s="162">
        <f>5+11+14</f>
        <v>30</v>
      </c>
      <c r="H4" s="103">
        <f t="shared" si="0"/>
        <v>64</v>
      </c>
    </row>
    <row r="5" spans="1:8" ht="19.5" customHeight="1">
      <c r="A5" s="65">
        <v>4</v>
      </c>
      <c r="B5" s="73" t="s">
        <v>105</v>
      </c>
      <c r="C5" s="74" t="s">
        <v>70</v>
      </c>
      <c r="D5" s="12">
        <v>0</v>
      </c>
      <c r="E5" s="32">
        <v>1</v>
      </c>
      <c r="F5" s="32">
        <v>0</v>
      </c>
      <c r="G5" s="162">
        <v>0</v>
      </c>
      <c r="H5" s="103">
        <f t="shared" si="0"/>
        <v>1</v>
      </c>
    </row>
    <row r="6" spans="1:8" ht="19.5" customHeight="1">
      <c r="A6" s="70">
        <v>5</v>
      </c>
      <c r="B6" s="73" t="s">
        <v>106</v>
      </c>
      <c r="C6" s="74" t="s">
        <v>97</v>
      </c>
      <c r="D6" s="12">
        <v>47</v>
      </c>
      <c r="E6" s="32">
        <v>0</v>
      </c>
      <c r="F6" s="32">
        <v>8</v>
      </c>
      <c r="G6" s="162">
        <v>2</v>
      </c>
      <c r="H6" s="103">
        <f t="shared" si="0"/>
        <v>57</v>
      </c>
    </row>
    <row r="7" spans="1:8" ht="19.5" customHeight="1">
      <c r="A7" s="65">
        <v>6</v>
      </c>
      <c r="B7" s="73" t="s">
        <v>107</v>
      </c>
      <c r="C7" s="74" t="s">
        <v>55</v>
      </c>
      <c r="D7" s="12">
        <v>0</v>
      </c>
      <c r="E7" s="32">
        <v>0</v>
      </c>
      <c r="F7" s="32">
        <v>0</v>
      </c>
      <c r="G7" s="162">
        <v>0</v>
      </c>
      <c r="H7" s="103">
        <f t="shared" si="0"/>
        <v>0</v>
      </c>
    </row>
    <row r="8" spans="1:8" ht="19.5" customHeight="1">
      <c r="A8" s="70">
        <v>7</v>
      </c>
      <c r="B8" s="73" t="s">
        <v>128</v>
      </c>
      <c r="C8" s="74" t="s">
        <v>97</v>
      </c>
      <c r="D8" s="12">
        <v>3</v>
      </c>
      <c r="E8" s="32">
        <v>9</v>
      </c>
      <c r="F8" s="32">
        <v>8</v>
      </c>
      <c r="G8" s="162">
        <v>5</v>
      </c>
      <c r="H8" s="103">
        <f t="shared" si="0"/>
        <v>25</v>
      </c>
    </row>
    <row r="9" spans="1:8" ht="19.5" customHeight="1">
      <c r="A9" s="65">
        <v>8</v>
      </c>
      <c r="B9" s="73" t="s">
        <v>108</v>
      </c>
      <c r="C9" s="74" t="s">
        <v>44</v>
      </c>
      <c r="D9" s="12">
        <v>22</v>
      </c>
      <c r="E9" s="32">
        <v>20</v>
      </c>
      <c r="F9" s="32">
        <v>0</v>
      </c>
      <c r="G9" s="162">
        <v>0</v>
      </c>
      <c r="H9" s="103">
        <f t="shared" si="0"/>
        <v>42</v>
      </c>
    </row>
    <row r="10" spans="1:8" ht="19.5" customHeight="1">
      <c r="A10" s="70">
        <v>9</v>
      </c>
      <c r="B10" s="73" t="s">
        <v>109</v>
      </c>
      <c r="C10" s="74" t="s">
        <v>110</v>
      </c>
      <c r="D10" s="12">
        <v>21</v>
      </c>
      <c r="E10" s="32">
        <v>0</v>
      </c>
      <c r="F10" s="32">
        <v>0</v>
      </c>
      <c r="G10" s="162">
        <v>5</v>
      </c>
      <c r="H10" s="103">
        <f t="shared" si="0"/>
        <v>26</v>
      </c>
    </row>
    <row r="11" spans="1:8" ht="19.5" customHeight="1">
      <c r="A11" s="65">
        <v>10</v>
      </c>
      <c r="B11" s="73" t="s">
        <v>82</v>
      </c>
      <c r="C11" s="74" t="s">
        <v>41</v>
      </c>
      <c r="D11" s="12">
        <f>18+40</f>
        <v>58</v>
      </c>
      <c r="E11" s="32">
        <v>27</v>
      </c>
      <c r="F11" s="32">
        <v>19</v>
      </c>
      <c r="G11" s="162">
        <v>0</v>
      </c>
      <c r="H11" s="103">
        <f t="shared" si="0"/>
        <v>104</v>
      </c>
    </row>
    <row r="12" spans="1:8" ht="19.5" customHeight="1">
      <c r="A12" s="70">
        <v>11</v>
      </c>
      <c r="B12" s="73" t="s">
        <v>111</v>
      </c>
      <c r="C12" s="74" t="s">
        <v>88</v>
      </c>
      <c r="D12" s="12">
        <v>16</v>
      </c>
      <c r="E12" s="32">
        <v>0</v>
      </c>
      <c r="F12" s="32">
        <v>74</v>
      </c>
      <c r="G12" s="162">
        <v>0</v>
      </c>
      <c r="H12" s="103">
        <f t="shared" si="0"/>
        <v>90</v>
      </c>
    </row>
    <row r="13" spans="1:8" ht="19.5" customHeight="1">
      <c r="A13" s="65">
        <v>12</v>
      </c>
      <c r="B13" s="73" t="s">
        <v>112</v>
      </c>
      <c r="C13" s="74" t="s">
        <v>50</v>
      </c>
      <c r="D13" s="12">
        <v>66</v>
      </c>
      <c r="E13" s="32">
        <f>22+12</f>
        <v>34</v>
      </c>
      <c r="F13" s="32">
        <v>0</v>
      </c>
      <c r="G13" s="162">
        <v>100</v>
      </c>
      <c r="H13" s="103">
        <f t="shared" si="0"/>
        <v>200</v>
      </c>
    </row>
    <row r="14" spans="1:8" ht="19.5" customHeight="1">
      <c r="A14" s="70">
        <v>13</v>
      </c>
      <c r="B14" s="73" t="s">
        <v>113</v>
      </c>
      <c r="C14" s="74" t="s">
        <v>114</v>
      </c>
      <c r="D14" s="134">
        <v>50</v>
      </c>
      <c r="E14" s="32">
        <v>33</v>
      </c>
      <c r="F14" s="155">
        <v>60</v>
      </c>
      <c r="G14" s="164">
        <v>30</v>
      </c>
      <c r="H14" s="103">
        <f t="shared" si="0"/>
        <v>173</v>
      </c>
    </row>
    <row r="15" spans="1:8" ht="19.5" customHeight="1">
      <c r="A15" s="65">
        <v>14</v>
      </c>
      <c r="B15" s="73" t="s">
        <v>115</v>
      </c>
      <c r="C15" s="74" t="s">
        <v>116</v>
      </c>
      <c r="D15" s="12">
        <v>3</v>
      </c>
      <c r="E15" s="32">
        <v>0</v>
      </c>
      <c r="F15" s="32">
        <v>0</v>
      </c>
      <c r="G15" s="162">
        <f>11+6+9+6</f>
        <v>32</v>
      </c>
      <c r="H15" s="103">
        <f t="shared" si="0"/>
        <v>35</v>
      </c>
    </row>
    <row r="16" spans="1:8" ht="19.5" customHeight="1">
      <c r="A16" s="70">
        <v>15</v>
      </c>
      <c r="B16" s="73" t="s">
        <v>444</v>
      </c>
      <c r="C16" s="74" t="s">
        <v>445</v>
      </c>
      <c r="D16" s="12">
        <v>0</v>
      </c>
      <c r="E16" s="32">
        <v>0</v>
      </c>
      <c r="F16" s="32">
        <v>0</v>
      </c>
      <c r="G16" s="162">
        <f>11+5+9+6</f>
        <v>31</v>
      </c>
      <c r="H16" s="103">
        <f t="shared" si="0"/>
        <v>31</v>
      </c>
    </row>
    <row r="17" spans="1:8" ht="19.5" customHeight="1">
      <c r="A17" s="65">
        <v>16</v>
      </c>
      <c r="B17" s="73" t="s">
        <v>393</v>
      </c>
      <c r="C17" s="74" t="s">
        <v>394</v>
      </c>
      <c r="D17" s="12">
        <v>6</v>
      </c>
      <c r="E17" s="32">
        <v>0</v>
      </c>
      <c r="F17" s="32">
        <v>16</v>
      </c>
      <c r="G17" s="162">
        <f>13+5+9</f>
        <v>27</v>
      </c>
      <c r="H17" s="103">
        <f t="shared" si="0"/>
        <v>49</v>
      </c>
    </row>
    <row r="18" spans="1:8" ht="19.5" customHeight="1">
      <c r="A18" s="70">
        <v>17</v>
      </c>
      <c r="B18" s="73" t="s">
        <v>117</v>
      </c>
      <c r="C18" s="74" t="s">
        <v>118</v>
      </c>
      <c r="D18" s="12">
        <v>38</v>
      </c>
      <c r="E18" s="32">
        <v>68</v>
      </c>
      <c r="F18" s="32">
        <v>37</v>
      </c>
      <c r="G18" s="162">
        <v>33</v>
      </c>
      <c r="H18" s="103">
        <f t="shared" si="0"/>
        <v>176</v>
      </c>
    </row>
    <row r="19" spans="1:8" ht="19.5" customHeight="1">
      <c r="A19" s="65">
        <v>18</v>
      </c>
      <c r="B19" s="73" t="s">
        <v>119</v>
      </c>
      <c r="C19" s="74" t="s">
        <v>70</v>
      </c>
      <c r="D19" s="12">
        <v>0</v>
      </c>
      <c r="E19" s="32">
        <v>0</v>
      </c>
      <c r="F19" s="32">
        <v>0</v>
      </c>
      <c r="G19" s="162">
        <v>0</v>
      </c>
      <c r="H19" s="103">
        <f t="shared" si="0"/>
        <v>0</v>
      </c>
    </row>
    <row r="20" spans="1:8" ht="19.5" customHeight="1">
      <c r="A20" s="70">
        <v>19</v>
      </c>
      <c r="B20" s="73" t="s">
        <v>120</v>
      </c>
      <c r="C20" s="74" t="s">
        <v>121</v>
      </c>
      <c r="D20" s="12">
        <v>28</v>
      </c>
      <c r="E20" s="32">
        <v>0</v>
      </c>
      <c r="F20" s="32">
        <v>8</v>
      </c>
      <c r="G20" s="162">
        <v>0</v>
      </c>
      <c r="H20" s="103">
        <f t="shared" si="0"/>
        <v>36</v>
      </c>
    </row>
    <row r="21" spans="1:8" ht="19.5" customHeight="1">
      <c r="A21" s="70">
        <v>20</v>
      </c>
      <c r="B21" s="73" t="s">
        <v>122</v>
      </c>
      <c r="C21" s="74" t="s">
        <v>85</v>
      </c>
      <c r="D21" s="13">
        <v>160</v>
      </c>
      <c r="E21" s="34">
        <v>120</v>
      </c>
      <c r="F21" s="34">
        <v>100</v>
      </c>
      <c r="G21" s="168">
        <v>220</v>
      </c>
      <c r="H21" s="103">
        <f t="shared" si="0"/>
        <v>600</v>
      </c>
    </row>
    <row r="22" spans="1:8" ht="19.5" customHeight="1" thickBot="1">
      <c r="A22" s="69">
        <v>21</v>
      </c>
      <c r="B22" s="75" t="s">
        <v>123</v>
      </c>
      <c r="C22" s="76" t="s">
        <v>85</v>
      </c>
      <c r="D22" s="14">
        <v>0</v>
      </c>
      <c r="E22" s="33">
        <v>13</v>
      </c>
      <c r="F22" s="33">
        <v>14</v>
      </c>
      <c r="G22" s="167">
        <v>2</v>
      </c>
      <c r="H22" s="104">
        <f t="shared" si="0"/>
        <v>29</v>
      </c>
    </row>
    <row r="23" spans="1:8" s="105" customFormat="1" ht="15.75">
      <c r="A23" s="114"/>
      <c r="B23" s="109" t="s">
        <v>452</v>
      </c>
      <c r="D23" s="106"/>
      <c r="E23" s="110"/>
      <c r="F23" s="110"/>
      <c r="G23" s="106">
        <f>26+9+4</f>
        <v>39</v>
      </c>
      <c r="H23" s="106">
        <f>SUM(D23:G23)</f>
        <v>39</v>
      </c>
    </row>
    <row r="24" spans="4:7" ht="15.75" thickBot="1">
      <c r="D24" s="17"/>
      <c r="E24" s="15"/>
      <c r="F24" s="15"/>
      <c r="G24" s="15"/>
    </row>
    <row r="25" spans="1:8" s="29" customFormat="1" ht="16.5" thickBot="1">
      <c r="A25" s="28"/>
      <c r="B25" s="119" t="s">
        <v>352</v>
      </c>
      <c r="D25" s="19">
        <f>SUM(D2:D24)</f>
        <v>658</v>
      </c>
      <c r="E25" s="19">
        <f>SUM(E2:E22)</f>
        <v>377</v>
      </c>
      <c r="F25" s="19">
        <f>SUM(F2:F22)</f>
        <v>423</v>
      </c>
      <c r="G25" s="19">
        <f>SUM(G2:G23)</f>
        <v>604</v>
      </c>
      <c r="H25" s="118">
        <f>SUM(H2:H23)</f>
        <v>2062</v>
      </c>
    </row>
    <row r="28" spans="5:6" ht="12.75">
      <c r="E28" s="15"/>
      <c r="F28" t="s">
        <v>398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2008 - 2009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N11" sqref="M11:N1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4.28125" style="1" customWidth="1"/>
    <col min="7" max="7" width="16.140625" style="1" customWidth="1"/>
    <col min="8" max="8" width="15.7109375" style="0" customWidth="1"/>
  </cols>
  <sheetData>
    <row r="1" spans="1:8" ht="24.75" customHeight="1" thickBot="1">
      <c r="A1" s="3" t="s">
        <v>200</v>
      </c>
      <c r="B1" s="10" t="s">
        <v>350</v>
      </c>
      <c r="C1" s="4" t="s">
        <v>351</v>
      </c>
      <c r="D1" s="94" t="s">
        <v>403</v>
      </c>
      <c r="E1" s="94" t="s">
        <v>458</v>
      </c>
      <c r="F1" s="148" t="s">
        <v>461</v>
      </c>
      <c r="G1" s="148" t="s">
        <v>464</v>
      </c>
      <c r="H1" s="101" t="s">
        <v>400</v>
      </c>
    </row>
    <row r="2" spans="1:8" ht="19.5" customHeight="1">
      <c r="A2" s="64">
        <v>1</v>
      </c>
      <c r="B2" s="71" t="s">
        <v>125</v>
      </c>
      <c r="C2" s="72" t="s">
        <v>83</v>
      </c>
      <c r="D2" s="11">
        <v>0</v>
      </c>
      <c r="E2" s="35">
        <v>14</v>
      </c>
      <c r="F2" s="172">
        <v>0</v>
      </c>
      <c r="G2" s="173">
        <v>10</v>
      </c>
      <c r="H2" s="102">
        <f>SUM(D2:G2)</f>
        <v>24</v>
      </c>
    </row>
    <row r="3" spans="1:8" ht="19.5" customHeight="1">
      <c r="A3" s="65">
        <v>2</v>
      </c>
      <c r="B3" s="73" t="s">
        <v>38</v>
      </c>
      <c r="C3" s="74" t="s">
        <v>70</v>
      </c>
      <c r="D3" s="12">
        <v>35</v>
      </c>
      <c r="E3" s="36">
        <v>103</v>
      </c>
      <c r="F3" s="174">
        <f>44+7</f>
        <v>51</v>
      </c>
      <c r="G3" s="175">
        <v>50</v>
      </c>
      <c r="H3" s="103">
        <f aca="true" t="shared" si="0" ref="H3:H27">SUM(D3:G3)</f>
        <v>239</v>
      </c>
    </row>
    <row r="4" spans="1:8" ht="19.5" customHeight="1">
      <c r="A4" s="65">
        <v>3</v>
      </c>
      <c r="B4" s="73" t="s">
        <v>126</v>
      </c>
      <c r="C4" s="74" t="s">
        <v>127</v>
      </c>
      <c r="D4" s="12">
        <v>5</v>
      </c>
      <c r="E4" s="36">
        <v>10</v>
      </c>
      <c r="F4" s="174">
        <v>12</v>
      </c>
      <c r="G4" s="175">
        <v>8</v>
      </c>
      <c r="H4" s="103">
        <f t="shared" si="0"/>
        <v>35</v>
      </c>
    </row>
    <row r="5" spans="1:8" ht="19.5" customHeight="1">
      <c r="A5" s="65">
        <v>4</v>
      </c>
      <c r="B5" s="73" t="s">
        <v>126</v>
      </c>
      <c r="C5" s="74" t="s">
        <v>57</v>
      </c>
      <c r="D5" s="12">
        <v>0</v>
      </c>
      <c r="E5" s="36">
        <f>220+8</f>
        <v>228</v>
      </c>
      <c r="F5" s="174">
        <v>0</v>
      </c>
      <c r="G5" s="176">
        <v>170</v>
      </c>
      <c r="H5" s="103">
        <f t="shared" si="0"/>
        <v>398</v>
      </c>
    </row>
    <row r="6" spans="1:8" ht="19.5" customHeight="1">
      <c r="A6" s="65">
        <v>5</v>
      </c>
      <c r="B6" s="73" t="s">
        <v>129</v>
      </c>
      <c r="C6" s="74" t="s">
        <v>95</v>
      </c>
      <c r="D6" s="12">
        <v>16</v>
      </c>
      <c r="E6" s="36">
        <v>20</v>
      </c>
      <c r="F6" s="174">
        <v>17</v>
      </c>
      <c r="G6" s="175">
        <v>10</v>
      </c>
      <c r="H6" s="103">
        <f t="shared" si="0"/>
        <v>63</v>
      </c>
    </row>
    <row r="7" spans="1:8" ht="19.5" customHeight="1">
      <c r="A7" s="65">
        <v>6</v>
      </c>
      <c r="B7" s="73" t="s">
        <v>14</v>
      </c>
      <c r="C7" s="74" t="s">
        <v>9</v>
      </c>
      <c r="D7" s="12">
        <v>4</v>
      </c>
      <c r="E7" s="36">
        <v>15</v>
      </c>
      <c r="F7" s="174">
        <v>28</v>
      </c>
      <c r="G7" s="188">
        <v>10</v>
      </c>
      <c r="H7" s="103">
        <f t="shared" si="0"/>
        <v>57</v>
      </c>
    </row>
    <row r="8" spans="1:8" ht="19.5" customHeight="1">
      <c r="A8" s="65">
        <v>7</v>
      </c>
      <c r="B8" s="73" t="s">
        <v>130</v>
      </c>
      <c r="C8" s="74" t="s">
        <v>4</v>
      </c>
      <c r="D8" s="12">
        <v>0</v>
      </c>
      <c r="E8" s="36">
        <v>0</v>
      </c>
      <c r="F8" s="174">
        <v>0</v>
      </c>
      <c r="G8" s="175">
        <v>0</v>
      </c>
      <c r="H8" s="103">
        <f t="shared" si="0"/>
        <v>0</v>
      </c>
    </row>
    <row r="9" spans="1:8" ht="19.5" customHeight="1">
      <c r="A9" s="65">
        <v>8</v>
      </c>
      <c r="B9" s="73" t="s">
        <v>131</v>
      </c>
      <c r="C9" s="74" t="s">
        <v>132</v>
      </c>
      <c r="D9" s="12">
        <v>36</v>
      </c>
      <c r="E9" s="36">
        <v>57</v>
      </c>
      <c r="F9" s="174">
        <v>23</v>
      </c>
      <c r="G9" s="176">
        <f>155+10</f>
        <v>165</v>
      </c>
      <c r="H9" s="103">
        <f t="shared" si="0"/>
        <v>281</v>
      </c>
    </row>
    <row r="10" spans="1:8" ht="19.5" customHeight="1">
      <c r="A10" s="65">
        <v>9</v>
      </c>
      <c r="B10" s="73" t="s">
        <v>133</v>
      </c>
      <c r="C10" s="74" t="s">
        <v>46</v>
      </c>
      <c r="D10" s="134">
        <f>160+2</f>
        <v>162</v>
      </c>
      <c r="E10" s="36">
        <f>460+3</f>
        <v>463</v>
      </c>
      <c r="F10" s="177">
        <f>50+160+4</f>
        <v>214</v>
      </c>
      <c r="G10" s="176">
        <v>80</v>
      </c>
      <c r="H10" s="103">
        <f t="shared" si="0"/>
        <v>919</v>
      </c>
    </row>
    <row r="11" spans="1:8" ht="19.5" customHeight="1">
      <c r="A11" s="65">
        <v>10</v>
      </c>
      <c r="B11" s="73" t="s">
        <v>86</v>
      </c>
      <c r="C11" s="74" t="s">
        <v>48</v>
      </c>
      <c r="D11" s="12">
        <v>48</v>
      </c>
      <c r="E11" s="36">
        <f>64+18</f>
        <v>82</v>
      </c>
      <c r="F11" s="174">
        <v>0</v>
      </c>
      <c r="G11" s="175">
        <v>72</v>
      </c>
      <c r="H11" s="103">
        <f t="shared" si="0"/>
        <v>202</v>
      </c>
    </row>
    <row r="12" spans="1:8" ht="19.5" customHeight="1">
      <c r="A12" s="65">
        <v>11</v>
      </c>
      <c r="B12" s="73" t="s">
        <v>446</v>
      </c>
      <c r="C12" s="74" t="s">
        <v>447</v>
      </c>
      <c r="D12" s="12">
        <v>12</v>
      </c>
      <c r="E12" s="36">
        <v>0</v>
      </c>
      <c r="F12" s="174">
        <v>4</v>
      </c>
      <c r="G12" s="175">
        <v>5</v>
      </c>
      <c r="H12" s="103">
        <f t="shared" si="0"/>
        <v>21</v>
      </c>
    </row>
    <row r="13" spans="1:8" ht="19.5" customHeight="1">
      <c r="A13" s="65">
        <v>12</v>
      </c>
      <c r="B13" s="73" t="s">
        <v>136</v>
      </c>
      <c r="C13" s="74" t="s">
        <v>137</v>
      </c>
      <c r="D13" s="12">
        <f>71+49+33</f>
        <v>153</v>
      </c>
      <c r="E13" s="36">
        <v>81</v>
      </c>
      <c r="F13" s="174">
        <f>82+5+122</f>
        <v>209</v>
      </c>
      <c r="G13" s="175">
        <f>40+67+104+67+32</f>
        <v>310</v>
      </c>
      <c r="H13" s="103">
        <f t="shared" si="0"/>
        <v>753</v>
      </c>
    </row>
    <row r="14" spans="1:8" ht="19.5" customHeight="1">
      <c r="A14" s="65">
        <v>13</v>
      </c>
      <c r="B14" s="73" t="s">
        <v>138</v>
      </c>
      <c r="C14" s="74" t="s">
        <v>90</v>
      </c>
      <c r="D14" s="12">
        <v>12</v>
      </c>
      <c r="E14" s="36">
        <v>15</v>
      </c>
      <c r="F14" s="174">
        <v>22</v>
      </c>
      <c r="G14" s="175">
        <v>10</v>
      </c>
      <c r="H14" s="103">
        <f t="shared" si="0"/>
        <v>59</v>
      </c>
    </row>
    <row r="15" spans="1:8" ht="19.5" customHeight="1">
      <c r="A15" s="65">
        <v>14</v>
      </c>
      <c r="B15" s="73" t="s">
        <v>139</v>
      </c>
      <c r="C15" s="74" t="s">
        <v>48</v>
      </c>
      <c r="D15" s="12">
        <v>14</v>
      </c>
      <c r="E15" s="36">
        <v>0</v>
      </c>
      <c r="F15" s="174">
        <v>0</v>
      </c>
      <c r="G15" s="175">
        <v>10</v>
      </c>
      <c r="H15" s="103">
        <f t="shared" si="0"/>
        <v>24</v>
      </c>
    </row>
    <row r="16" spans="1:8" ht="19.5" customHeight="1">
      <c r="A16" s="65">
        <v>15</v>
      </c>
      <c r="B16" s="73" t="s">
        <v>140</v>
      </c>
      <c r="C16" s="74" t="s">
        <v>141</v>
      </c>
      <c r="D16" s="12">
        <v>140</v>
      </c>
      <c r="E16" s="36">
        <v>109</v>
      </c>
      <c r="F16" s="174">
        <v>130</v>
      </c>
      <c r="G16" s="175">
        <v>351</v>
      </c>
      <c r="H16" s="103">
        <f t="shared" si="0"/>
        <v>730</v>
      </c>
    </row>
    <row r="17" spans="1:8" ht="19.5" customHeight="1">
      <c r="A17" s="65">
        <v>16</v>
      </c>
      <c r="B17" s="73" t="s">
        <v>142</v>
      </c>
      <c r="C17" s="74" t="s">
        <v>143</v>
      </c>
      <c r="D17" s="12">
        <v>23</v>
      </c>
      <c r="E17" s="36">
        <v>12</v>
      </c>
      <c r="F17" s="174">
        <v>10</v>
      </c>
      <c r="G17" s="175">
        <v>4</v>
      </c>
      <c r="H17" s="103">
        <f t="shared" si="0"/>
        <v>49</v>
      </c>
    </row>
    <row r="18" spans="1:13" ht="19.5" customHeight="1">
      <c r="A18" s="65">
        <v>17</v>
      </c>
      <c r="B18" s="73" t="s">
        <v>142</v>
      </c>
      <c r="C18" s="74" t="s">
        <v>144</v>
      </c>
      <c r="D18" s="13">
        <v>23</v>
      </c>
      <c r="E18" s="37">
        <v>12</v>
      </c>
      <c r="F18" s="178">
        <v>10</v>
      </c>
      <c r="G18" s="179">
        <v>4</v>
      </c>
      <c r="H18" s="103">
        <f t="shared" si="0"/>
        <v>49</v>
      </c>
      <c r="M18" s="23"/>
    </row>
    <row r="19" spans="1:8" ht="19.5" customHeight="1">
      <c r="A19" s="65">
        <v>18</v>
      </c>
      <c r="B19" s="73" t="s">
        <v>145</v>
      </c>
      <c r="C19" s="74" t="s">
        <v>26</v>
      </c>
      <c r="D19" s="13">
        <v>11</v>
      </c>
      <c r="E19" s="37">
        <v>51</v>
      </c>
      <c r="F19" s="178">
        <v>45</v>
      </c>
      <c r="G19" s="179">
        <v>36</v>
      </c>
      <c r="H19" s="103">
        <f t="shared" si="0"/>
        <v>143</v>
      </c>
    </row>
    <row r="20" spans="1:8" ht="19.5" customHeight="1">
      <c r="A20" s="65">
        <v>19</v>
      </c>
      <c r="B20" s="73" t="s">
        <v>146</v>
      </c>
      <c r="C20" s="74" t="s">
        <v>137</v>
      </c>
      <c r="D20" s="13">
        <f>79+106+93+30</f>
        <v>308</v>
      </c>
      <c r="E20" s="37">
        <f>200+108+127</f>
        <v>435</v>
      </c>
      <c r="F20" s="180">
        <f>240+84</f>
        <v>324</v>
      </c>
      <c r="G20" s="179">
        <f>62+66+23</f>
        <v>151</v>
      </c>
      <c r="H20" s="103">
        <f t="shared" si="0"/>
        <v>1218</v>
      </c>
    </row>
    <row r="21" spans="1:8" ht="19.5" customHeight="1">
      <c r="A21" s="65">
        <v>20</v>
      </c>
      <c r="B21" s="73" t="s">
        <v>448</v>
      </c>
      <c r="C21" s="74" t="s">
        <v>13</v>
      </c>
      <c r="D21" s="12">
        <v>0</v>
      </c>
      <c r="E21" s="36">
        <v>0</v>
      </c>
      <c r="F21" s="174">
        <v>41</v>
      </c>
      <c r="G21" s="175">
        <v>0</v>
      </c>
      <c r="H21" s="103">
        <f t="shared" si="0"/>
        <v>41</v>
      </c>
    </row>
    <row r="22" spans="1:8" ht="19.5" customHeight="1">
      <c r="A22" s="8">
        <v>21</v>
      </c>
      <c r="B22" s="73" t="s">
        <v>147</v>
      </c>
      <c r="C22" s="74" t="s">
        <v>24</v>
      </c>
      <c r="D22" s="12">
        <v>0</v>
      </c>
      <c r="E22" s="36">
        <v>0</v>
      </c>
      <c r="F22" s="174">
        <v>5</v>
      </c>
      <c r="G22" s="175">
        <v>50</v>
      </c>
      <c r="H22" s="103">
        <f t="shared" si="0"/>
        <v>55</v>
      </c>
    </row>
    <row r="23" spans="1:8" ht="19.5" customHeight="1">
      <c r="A23" s="8">
        <v>22</v>
      </c>
      <c r="B23" s="73" t="s">
        <v>456</v>
      </c>
      <c r="C23" s="74" t="s">
        <v>116</v>
      </c>
      <c r="D23" s="12" t="s">
        <v>459</v>
      </c>
      <c r="E23" s="36">
        <v>0</v>
      </c>
      <c r="F23" s="174">
        <v>15</v>
      </c>
      <c r="G23" s="175">
        <v>0</v>
      </c>
      <c r="H23" s="103">
        <f t="shared" si="0"/>
        <v>15</v>
      </c>
    </row>
    <row r="24" spans="1:8" ht="19.5" customHeight="1">
      <c r="A24" s="8">
        <v>23</v>
      </c>
      <c r="B24" s="73" t="s">
        <v>148</v>
      </c>
      <c r="C24" s="74" t="s">
        <v>17</v>
      </c>
      <c r="D24" s="12">
        <v>140</v>
      </c>
      <c r="E24" s="36">
        <v>69</v>
      </c>
      <c r="F24" s="174">
        <v>15</v>
      </c>
      <c r="G24" s="175">
        <v>0</v>
      </c>
      <c r="H24" s="103">
        <f t="shared" si="0"/>
        <v>224</v>
      </c>
    </row>
    <row r="25" spans="1:8" ht="19.5" customHeight="1">
      <c r="A25" s="8">
        <v>24</v>
      </c>
      <c r="B25" s="73" t="s">
        <v>149</v>
      </c>
      <c r="C25" s="74" t="s">
        <v>150</v>
      </c>
      <c r="D25" s="12">
        <v>9</v>
      </c>
      <c r="E25" s="36">
        <v>4</v>
      </c>
      <c r="F25" s="174">
        <v>0</v>
      </c>
      <c r="G25" s="175">
        <v>17</v>
      </c>
      <c r="H25" s="103">
        <f t="shared" si="0"/>
        <v>30</v>
      </c>
    </row>
    <row r="26" spans="1:8" ht="19.5" customHeight="1">
      <c r="A26" s="8">
        <v>25</v>
      </c>
      <c r="B26" s="73" t="s">
        <v>151</v>
      </c>
      <c r="C26" s="74" t="s">
        <v>137</v>
      </c>
      <c r="D26" s="12">
        <f>64+83</f>
        <v>147</v>
      </c>
      <c r="E26" s="36">
        <f>107+50</f>
        <v>157</v>
      </c>
      <c r="F26" s="177">
        <v>220</v>
      </c>
      <c r="G26" s="176">
        <f>180+81+90+80</f>
        <v>431</v>
      </c>
      <c r="H26" s="103">
        <f t="shared" si="0"/>
        <v>955</v>
      </c>
    </row>
    <row r="27" spans="1:8" ht="19.5" customHeight="1" thickBot="1">
      <c r="A27" s="9">
        <v>26</v>
      </c>
      <c r="B27" s="92" t="s">
        <v>152</v>
      </c>
      <c r="C27" s="77" t="s">
        <v>15</v>
      </c>
      <c r="D27" s="67">
        <v>132</v>
      </c>
      <c r="E27" s="88">
        <v>160</v>
      </c>
      <c r="F27" s="181">
        <v>40</v>
      </c>
      <c r="G27" s="182">
        <v>80</v>
      </c>
      <c r="H27" s="104">
        <f t="shared" si="0"/>
        <v>412</v>
      </c>
    </row>
    <row r="28" spans="1:8" s="105" customFormat="1" ht="15.75">
      <c r="A28" s="114"/>
      <c r="B28" s="109" t="s">
        <v>452</v>
      </c>
      <c r="D28" s="106">
        <f>19+20+22+26</f>
        <v>87</v>
      </c>
      <c r="E28" s="115"/>
      <c r="F28" s="183">
        <v>37</v>
      </c>
      <c r="G28" s="184"/>
      <c r="H28" s="106">
        <f>SUM(D28:G28)</f>
        <v>124</v>
      </c>
    </row>
    <row r="29" spans="1:7" s="105" customFormat="1" ht="16.5" thickBot="1">
      <c r="A29" s="114"/>
      <c r="B29" s="109"/>
      <c r="D29" s="106"/>
      <c r="E29" s="115"/>
      <c r="F29" s="184"/>
      <c r="G29" s="184"/>
    </row>
    <row r="30" spans="1:8" s="29" customFormat="1" ht="16.5" thickBot="1">
      <c r="A30" s="28"/>
      <c r="B30" s="119" t="s">
        <v>352</v>
      </c>
      <c r="D30" s="19">
        <f>SUM(D2:D28)</f>
        <v>1517</v>
      </c>
      <c r="E30" s="38">
        <v>2097</v>
      </c>
      <c r="F30" s="185">
        <f>SUM(F2:F28)</f>
        <v>1472</v>
      </c>
      <c r="G30" s="185">
        <f>SUM(G2:G27)</f>
        <v>2034</v>
      </c>
      <c r="H30" s="118">
        <f>SUM(H2:H28)</f>
        <v>7120</v>
      </c>
    </row>
    <row r="32" spans="4:8" ht="12.75">
      <c r="D32" s="15"/>
      <c r="E32" s="159"/>
      <c r="H32" s="21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78" r:id="rId1"/>
  <headerFooter alignWithMargins="0">
    <oddHeader>&amp;C&amp;"Arial,Tučné"&amp;16Sběr 2008 - 2009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2009-05-26T08:24:55Z</cp:lastPrinted>
  <dcterms:created xsi:type="dcterms:W3CDTF">1997-01-24T11:07:25Z</dcterms:created>
  <dcterms:modified xsi:type="dcterms:W3CDTF">2009-05-26T08:25:46Z</dcterms:modified>
  <cp:category/>
  <cp:version/>
  <cp:contentType/>
  <cp:contentStatus/>
</cp:coreProperties>
</file>