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přehled " sheetId="1" r:id="rId1"/>
    <sheet name="I.A" sheetId="2" r:id="rId2"/>
    <sheet name="I.B" sheetId="3" r:id="rId3"/>
    <sheet name="II.A" sheetId="4" r:id="rId4"/>
    <sheet name="II.B" sheetId="5" r:id="rId5"/>
    <sheet name="III.A" sheetId="6" r:id="rId6"/>
    <sheet name="III.B" sheetId="7" r:id="rId7"/>
    <sheet name="IV.A" sheetId="8" r:id="rId8"/>
    <sheet name="IV.B" sheetId="9" r:id="rId9"/>
    <sheet name="V.A" sheetId="10" r:id="rId10"/>
    <sheet name="VI.A" sheetId="11" r:id="rId11"/>
    <sheet name="VI.B" sheetId="12" r:id="rId12"/>
    <sheet name="VII.A" sheetId="13" r:id="rId13"/>
    <sheet name="VII.B" sheetId="14" r:id="rId14"/>
    <sheet name="VIII.A" sheetId="15" r:id="rId15"/>
    <sheet name="VIII.B" sheetId="16" r:id="rId16"/>
    <sheet name="IX.A" sheetId="17" r:id="rId17"/>
    <sheet name="IX.B" sheetId="18" r:id="rId18"/>
  </sheets>
  <definedNames/>
  <calcPr fullCalcOnLoad="1"/>
</workbook>
</file>

<file path=xl/sharedStrings.xml><?xml version="1.0" encoding="utf-8"?>
<sst xmlns="http://schemas.openxmlformats.org/spreadsheetml/2006/main" count="991" uniqueCount="486">
  <si>
    <t>1.A</t>
  </si>
  <si>
    <t>Blinková</t>
  </si>
  <si>
    <t>Simona</t>
  </si>
  <si>
    <t>Dostrašil</t>
  </si>
  <si>
    <t>David</t>
  </si>
  <si>
    <t>Folbergerová</t>
  </si>
  <si>
    <t>Helena</t>
  </si>
  <si>
    <t>Miroslav</t>
  </si>
  <si>
    <t>Holec</t>
  </si>
  <si>
    <t>Lukáš</t>
  </si>
  <si>
    <t>Hrdinová</t>
  </si>
  <si>
    <t>Magdaléna</t>
  </si>
  <si>
    <t>Hulčíková</t>
  </si>
  <si>
    <t>Karolína</t>
  </si>
  <si>
    <t>Chráska</t>
  </si>
  <si>
    <t>Marek</t>
  </si>
  <si>
    <t>Kolářová</t>
  </si>
  <si>
    <t>Tereza</t>
  </si>
  <si>
    <t>Korecká</t>
  </si>
  <si>
    <t>Markéta</t>
  </si>
  <si>
    <t>Körner</t>
  </si>
  <si>
    <t>Jaroslav</t>
  </si>
  <si>
    <t>Králová</t>
  </si>
  <si>
    <t>Lenka</t>
  </si>
  <si>
    <t>Tomáš</t>
  </si>
  <si>
    <t>Pohanková</t>
  </si>
  <si>
    <t>Petra</t>
  </si>
  <si>
    <t>Procházková</t>
  </si>
  <si>
    <t>Bára</t>
  </si>
  <si>
    <t>Stibor</t>
  </si>
  <si>
    <t>Jindřich</t>
  </si>
  <si>
    <t>Jan</t>
  </si>
  <si>
    <t>Švec</t>
  </si>
  <si>
    <t>Filip</t>
  </si>
  <si>
    <t>Zemanová</t>
  </si>
  <si>
    <t>Adéla</t>
  </si>
  <si>
    <t>Žák</t>
  </si>
  <si>
    <t>1.B</t>
  </si>
  <si>
    <t>Černá</t>
  </si>
  <si>
    <t>Fantíková</t>
  </si>
  <si>
    <t>Janďura</t>
  </si>
  <si>
    <t>Jakub</t>
  </si>
  <si>
    <t>Kesner</t>
  </si>
  <si>
    <t>Kimmerová</t>
  </si>
  <si>
    <t>Nikola</t>
  </si>
  <si>
    <t>Kipor</t>
  </si>
  <si>
    <t>Patrik</t>
  </si>
  <si>
    <t>Kosák</t>
  </si>
  <si>
    <t>Jiří</t>
  </si>
  <si>
    <t>Košek</t>
  </si>
  <si>
    <t>Martin</t>
  </si>
  <si>
    <t>Ledvinková</t>
  </si>
  <si>
    <t>Patricie</t>
  </si>
  <si>
    <t>Dominika</t>
  </si>
  <si>
    <t>Nováková</t>
  </si>
  <si>
    <t>Klára</t>
  </si>
  <si>
    <t>Nuderová</t>
  </si>
  <si>
    <t>Kateřina</t>
  </si>
  <si>
    <t>Pavelka</t>
  </si>
  <si>
    <t>Matěj</t>
  </si>
  <si>
    <t>Plačková</t>
  </si>
  <si>
    <t>Anna</t>
  </si>
  <si>
    <t>Rezlerová</t>
  </si>
  <si>
    <t>Richtr</t>
  </si>
  <si>
    <t>Ondřej</t>
  </si>
  <si>
    <t>Řezáč</t>
  </si>
  <si>
    <t>Daniel</t>
  </si>
  <si>
    <t>Švecová</t>
  </si>
  <si>
    <t>Voháňka</t>
  </si>
  <si>
    <t>2.A</t>
  </si>
  <si>
    <t>Veronika</t>
  </si>
  <si>
    <t>Böhm</t>
  </si>
  <si>
    <t>Brabec</t>
  </si>
  <si>
    <t>Bucharová</t>
  </si>
  <si>
    <t>Csibová</t>
  </si>
  <si>
    <t>Černý</t>
  </si>
  <si>
    <t>Vojtěch</t>
  </si>
  <si>
    <t>Čeřovský</t>
  </si>
  <si>
    <t>Horáček</t>
  </si>
  <si>
    <t>Chlumová</t>
  </si>
  <si>
    <t>Sabina</t>
  </si>
  <si>
    <t>Kašpar</t>
  </si>
  <si>
    <t>Kolář</t>
  </si>
  <si>
    <t>Nikol</t>
  </si>
  <si>
    <t>Kratochvílová</t>
  </si>
  <si>
    <t>Kristýna</t>
  </si>
  <si>
    <t>Krupička</t>
  </si>
  <si>
    <t>Lizancová</t>
  </si>
  <si>
    <t>Pavlína</t>
  </si>
  <si>
    <t>Novotná</t>
  </si>
  <si>
    <t>Zuzana</t>
  </si>
  <si>
    <t>Olekšák</t>
  </si>
  <si>
    <t>Polák</t>
  </si>
  <si>
    <t>Poživil</t>
  </si>
  <si>
    <t>Raslová</t>
  </si>
  <si>
    <t>Petr</t>
  </si>
  <si>
    <t>Šmerdová</t>
  </si>
  <si>
    <t>Lucie</t>
  </si>
  <si>
    <t>Špetlíková</t>
  </si>
  <si>
    <t>Eva</t>
  </si>
  <si>
    <t>Toušová</t>
  </si>
  <si>
    <t>2.B</t>
  </si>
  <si>
    <t>Baranovský</t>
  </si>
  <si>
    <t>Bílková</t>
  </si>
  <si>
    <t>Bolech</t>
  </si>
  <si>
    <t>Drbohlavová</t>
  </si>
  <si>
    <t>Faltová</t>
  </si>
  <si>
    <t>Hanušová</t>
  </si>
  <si>
    <t>Hlavatá</t>
  </si>
  <si>
    <t>Hrabáková</t>
  </si>
  <si>
    <t>Barbora</t>
  </si>
  <si>
    <t>Kurtinová</t>
  </si>
  <si>
    <t>Lankaš</t>
  </si>
  <si>
    <t>Malina</t>
  </si>
  <si>
    <t>Vít</t>
  </si>
  <si>
    <t>Müller</t>
  </si>
  <si>
    <t>Pavel</t>
  </si>
  <si>
    <t>Plischková</t>
  </si>
  <si>
    <t>Martina</t>
  </si>
  <si>
    <t>Rabová</t>
  </si>
  <si>
    <t>Spěšný</t>
  </si>
  <si>
    <t>Dominik</t>
  </si>
  <si>
    <t>Vencová</t>
  </si>
  <si>
    <t>Vondráčková</t>
  </si>
  <si>
    <t>3.A</t>
  </si>
  <si>
    <t>Boboková</t>
  </si>
  <si>
    <t>Hájková</t>
  </si>
  <si>
    <t>Hana</t>
  </si>
  <si>
    <t>Hladíková</t>
  </si>
  <si>
    <t>Hoffmann</t>
  </si>
  <si>
    <t>Jaček</t>
  </si>
  <si>
    <t>Janečková</t>
  </si>
  <si>
    <t>Jana</t>
  </si>
  <si>
    <t>Kolín</t>
  </si>
  <si>
    <t>Král</t>
  </si>
  <si>
    <t>Adam</t>
  </si>
  <si>
    <t>Molnárová</t>
  </si>
  <si>
    <t>Michaela</t>
  </si>
  <si>
    <t>Nemčoková</t>
  </si>
  <si>
    <t>Novotný</t>
  </si>
  <si>
    <t>Pappová</t>
  </si>
  <si>
    <t>Alexandra</t>
  </si>
  <si>
    <t>Ramseidlová</t>
  </si>
  <si>
    <t>Dana</t>
  </si>
  <si>
    <t>Pavla</t>
  </si>
  <si>
    <t>Rečná</t>
  </si>
  <si>
    <t>Rysnerová</t>
  </si>
  <si>
    <t>Suchomel</t>
  </si>
  <si>
    <t>Šímová</t>
  </si>
  <si>
    <t>Trejbal</t>
  </si>
  <si>
    <t>Josef</t>
  </si>
  <si>
    <t>Vaníčková</t>
  </si>
  <si>
    <t>Žagan</t>
  </si>
  <si>
    <t>4.A</t>
  </si>
  <si>
    <t>Burešová</t>
  </si>
  <si>
    <t>Kamila</t>
  </si>
  <si>
    <t>Čermáková</t>
  </si>
  <si>
    <t>Gabriela</t>
  </si>
  <si>
    <t>Čeřovská</t>
  </si>
  <si>
    <t>Erhartová</t>
  </si>
  <si>
    <t>Eliška</t>
  </si>
  <si>
    <t>Fejt</t>
  </si>
  <si>
    <t>Frumarová</t>
  </si>
  <si>
    <t>Hlavsa</t>
  </si>
  <si>
    <t>Jakl</t>
  </si>
  <si>
    <t>František</t>
  </si>
  <si>
    <t>Kyrianová</t>
  </si>
  <si>
    <t>Lipšanová</t>
  </si>
  <si>
    <t>Malá</t>
  </si>
  <si>
    <t>Michal</t>
  </si>
  <si>
    <t>Plášil</t>
  </si>
  <si>
    <t>Skalský</t>
  </si>
  <si>
    <t>René</t>
  </si>
  <si>
    <t>Suchý</t>
  </si>
  <si>
    <t>Tadeáš</t>
  </si>
  <si>
    <t>Šimerová</t>
  </si>
  <si>
    <t>Šůla</t>
  </si>
  <si>
    <t>Vrabcová</t>
  </si>
  <si>
    <t>Denisa</t>
  </si>
  <si>
    <t>Borek</t>
  </si>
  <si>
    <t>Dědek</t>
  </si>
  <si>
    <t>Děkan</t>
  </si>
  <si>
    <t>Dimlová</t>
  </si>
  <si>
    <t>Romana</t>
  </si>
  <si>
    <t>Kumprecht</t>
  </si>
  <si>
    <t>Lehký</t>
  </si>
  <si>
    <t>Lissner</t>
  </si>
  <si>
    <t>Malinovská</t>
  </si>
  <si>
    <t>Pecháček</t>
  </si>
  <si>
    <t>Podešvová</t>
  </si>
  <si>
    <t>Rutšeková</t>
  </si>
  <si>
    <t>Salomon</t>
  </si>
  <si>
    <t>Šounová</t>
  </si>
  <si>
    <t>Vlastimil</t>
  </si>
  <si>
    <t>Vacková</t>
  </si>
  <si>
    <t>Vejnar</t>
  </si>
  <si>
    <t>Vrabec</t>
  </si>
  <si>
    <t>Milan</t>
  </si>
  <si>
    <t>Wolf</t>
  </si>
  <si>
    <t>Zelenková</t>
  </si>
  <si>
    <t>5.A</t>
  </si>
  <si>
    <t>Bahník</t>
  </si>
  <si>
    <t>Blažková</t>
  </si>
  <si>
    <t>Dostál</t>
  </si>
  <si>
    <t>Eppertová</t>
  </si>
  <si>
    <t>Flesner</t>
  </si>
  <si>
    <t>Hráský</t>
  </si>
  <si>
    <t>Robin</t>
  </si>
  <si>
    <t>Humburger</t>
  </si>
  <si>
    <t>Huňková</t>
  </si>
  <si>
    <t>Kofrová</t>
  </si>
  <si>
    <t>Kovář</t>
  </si>
  <si>
    <t>Václav</t>
  </si>
  <si>
    <t>Kučera</t>
  </si>
  <si>
    <t>Peterová</t>
  </si>
  <si>
    <t>Pikešová</t>
  </si>
  <si>
    <t>Pleskotová</t>
  </si>
  <si>
    <t>Pochová</t>
  </si>
  <si>
    <t>Skálová</t>
  </si>
  <si>
    <t>Tomsová</t>
  </si>
  <si>
    <t>Vladař</t>
  </si>
  <si>
    <t>Bičíková</t>
  </si>
  <si>
    <t>Burián</t>
  </si>
  <si>
    <t>Czichon</t>
  </si>
  <si>
    <t>Radek</t>
  </si>
  <si>
    <t>Demel</t>
  </si>
  <si>
    <t>Eliášová</t>
  </si>
  <si>
    <t>Galáč</t>
  </si>
  <si>
    <t>Gamba</t>
  </si>
  <si>
    <t>Helikarová</t>
  </si>
  <si>
    <t>Janďurová</t>
  </si>
  <si>
    <t>Ježková</t>
  </si>
  <si>
    <t>Jindrová</t>
  </si>
  <si>
    <t>Kaplová</t>
  </si>
  <si>
    <t>Kejzar</t>
  </si>
  <si>
    <t>Otakar</t>
  </si>
  <si>
    <t>Košková</t>
  </si>
  <si>
    <t>Novák</t>
  </si>
  <si>
    <t>Pavlíček</t>
  </si>
  <si>
    <t>Pavlů</t>
  </si>
  <si>
    <t>Posseltová</t>
  </si>
  <si>
    <t>Aneta</t>
  </si>
  <si>
    <t>Satrapa</t>
  </si>
  <si>
    <t>Slabý</t>
  </si>
  <si>
    <t>Aleš</t>
  </si>
  <si>
    <t>Trejbalová</t>
  </si>
  <si>
    <t>Věra</t>
  </si>
  <si>
    <t>6.A</t>
  </si>
  <si>
    <t>Bartoníček</t>
  </si>
  <si>
    <t>Bolechová</t>
  </si>
  <si>
    <t>Dědková</t>
  </si>
  <si>
    <t>Štěpánka</t>
  </si>
  <si>
    <t>Frumar</t>
  </si>
  <si>
    <t>Miloš</t>
  </si>
  <si>
    <t>Grolmusová</t>
  </si>
  <si>
    <t>Janíček</t>
  </si>
  <si>
    <t>Kolínský</t>
  </si>
  <si>
    <t>Luboš</t>
  </si>
  <si>
    <t>Křížová</t>
  </si>
  <si>
    <t>Andrea</t>
  </si>
  <si>
    <t>Kubelková</t>
  </si>
  <si>
    <t>Lagová</t>
  </si>
  <si>
    <t>Nicole</t>
  </si>
  <si>
    <t>Lánská</t>
  </si>
  <si>
    <t>Terezie</t>
  </si>
  <si>
    <t>Lichner</t>
  </si>
  <si>
    <t>Lukešová</t>
  </si>
  <si>
    <t>Michael</t>
  </si>
  <si>
    <t>Nalezinková</t>
  </si>
  <si>
    <t>Monika</t>
  </si>
  <si>
    <t>Prosová</t>
  </si>
  <si>
    <t>Remlová</t>
  </si>
  <si>
    <t>Řehka</t>
  </si>
  <si>
    <t>Šůlová</t>
  </si>
  <si>
    <t>Ivana</t>
  </si>
  <si>
    <t>Zajíc</t>
  </si>
  <si>
    <t>Zikmundová</t>
  </si>
  <si>
    <t>Zmatlíková</t>
  </si>
  <si>
    <t>6.B</t>
  </si>
  <si>
    <t>Adamová</t>
  </si>
  <si>
    <t>Bělík</t>
  </si>
  <si>
    <t>Harbich</t>
  </si>
  <si>
    <t>Hlavatý</t>
  </si>
  <si>
    <t>Hozák</t>
  </si>
  <si>
    <t>Richard</t>
  </si>
  <si>
    <t>Kahounová</t>
  </si>
  <si>
    <t>Kosina</t>
  </si>
  <si>
    <t>Koublová</t>
  </si>
  <si>
    <t>Krúpa</t>
  </si>
  <si>
    <t>Kubíková</t>
  </si>
  <si>
    <t>Maděrová</t>
  </si>
  <si>
    <t>Míka</t>
  </si>
  <si>
    <t>Petera</t>
  </si>
  <si>
    <t>Šebek</t>
  </si>
  <si>
    <t>Šilhán</t>
  </si>
  <si>
    <t>Vnoučková</t>
  </si>
  <si>
    <t>Volek</t>
  </si>
  <si>
    <t>Zelenka</t>
  </si>
  <si>
    <t>7.A</t>
  </si>
  <si>
    <t>Beckertová</t>
  </si>
  <si>
    <t>Blanár</t>
  </si>
  <si>
    <t>Haplová</t>
  </si>
  <si>
    <t>Kahl</t>
  </si>
  <si>
    <t>Matouš</t>
  </si>
  <si>
    <t>Knot</t>
  </si>
  <si>
    <t>Krejčová</t>
  </si>
  <si>
    <t>Matoušková</t>
  </si>
  <si>
    <t>Merta</t>
  </si>
  <si>
    <t>Antonín</t>
  </si>
  <si>
    <t>Pácha</t>
  </si>
  <si>
    <t>Plaček</t>
  </si>
  <si>
    <t>Polma</t>
  </si>
  <si>
    <t>Radovan</t>
  </si>
  <si>
    <t>Salaba</t>
  </si>
  <si>
    <t>Šenkyřík</t>
  </si>
  <si>
    <t>Šolta</t>
  </si>
  <si>
    <t>Urbanová</t>
  </si>
  <si>
    <t>Vavřina</t>
  </si>
  <si>
    <t>Radoslav</t>
  </si>
  <si>
    <t>7.B</t>
  </si>
  <si>
    <t>Bartáková</t>
  </si>
  <si>
    <t>Lea</t>
  </si>
  <si>
    <t>Blaschke</t>
  </si>
  <si>
    <t>Blažek</t>
  </si>
  <si>
    <t>Brindzák</t>
  </si>
  <si>
    <t>Dolenský</t>
  </si>
  <si>
    <t>Dománek</t>
  </si>
  <si>
    <t>Dušek</t>
  </si>
  <si>
    <t>Eppert</t>
  </si>
  <si>
    <t>Fejtová</t>
  </si>
  <si>
    <t>Chlumský</t>
  </si>
  <si>
    <t>Lankašová</t>
  </si>
  <si>
    <t>Žaneta</t>
  </si>
  <si>
    <t>Opalecká</t>
  </si>
  <si>
    <t>Sandra</t>
  </si>
  <si>
    <t>Palme</t>
  </si>
  <si>
    <t>Pařík-Stieber</t>
  </si>
  <si>
    <t>Kryštof</t>
  </si>
  <si>
    <t>Pecháčková</t>
  </si>
  <si>
    <t>Pilsová</t>
  </si>
  <si>
    <t>Poživilová</t>
  </si>
  <si>
    <t>Stehlík</t>
  </si>
  <si>
    <t>Šmejkal</t>
  </si>
  <si>
    <t>Voslař</t>
  </si>
  <si>
    <t>8.A</t>
  </si>
  <si>
    <t>8.B</t>
  </si>
  <si>
    <t>Bělina</t>
  </si>
  <si>
    <t>9.A</t>
  </si>
  <si>
    <t>9.B</t>
  </si>
  <si>
    <t>Příjmení</t>
  </si>
  <si>
    <t>Jméno</t>
  </si>
  <si>
    <t>Celkem:</t>
  </si>
  <si>
    <t>3.B</t>
  </si>
  <si>
    <t>Benešová</t>
  </si>
  <si>
    <t>Čupr</t>
  </si>
  <si>
    <t>Drapák</t>
  </si>
  <si>
    <t>Hajer</t>
  </si>
  <si>
    <t>Oskar</t>
  </si>
  <si>
    <t>Hoffmannová</t>
  </si>
  <si>
    <t>Holas</t>
  </si>
  <si>
    <t>Kellerová</t>
  </si>
  <si>
    <t>Thach</t>
  </si>
  <si>
    <t>Pavlíková</t>
  </si>
  <si>
    <t>Reml</t>
  </si>
  <si>
    <t>Svobodová</t>
  </si>
  <si>
    <t>Daniela</t>
  </si>
  <si>
    <t>Šmerda</t>
  </si>
  <si>
    <t>Tajčmanová</t>
  </si>
  <si>
    <t>Toráková</t>
  </si>
  <si>
    <t>Iveta</t>
  </si>
  <si>
    <t>Bělíková</t>
  </si>
  <si>
    <t>Doležal</t>
  </si>
  <si>
    <t>Oldřich</t>
  </si>
  <si>
    <t>Fiala</t>
  </si>
  <si>
    <t>Galáčová</t>
  </si>
  <si>
    <t>Hájek</t>
  </si>
  <si>
    <t>Kočí</t>
  </si>
  <si>
    <t>Langer</t>
  </si>
  <si>
    <t>Ljachová</t>
  </si>
  <si>
    <t>Nolová</t>
  </si>
  <si>
    <t>Pechová</t>
  </si>
  <si>
    <t>Přívozník</t>
  </si>
  <si>
    <t>Hastrdlo</t>
  </si>
  <si>
    <t>Řezníček</t>
  </si>
  <si>
    <t>Škvára</t>
  </si>
  <si>
    <t>Vítková</t>
  </si>
  <si>
    <t>Kubínová</t>
  </si>
  <si>
    <t>Natálie</t>
  </si>
  <si>
    <t>Podhájecká</t>
  </si>
  <si>
    <t>Habr</t>
  </si>
  <si>
    <t>Bocheňský</t>
  </si>
  <si>
    <t>Jonáš</t>
  </si>
  <si>
    <t>Picková</t>
  </si>
  <si>
    <t>Miluše</t>
  </si>
  <si>
    <t>Salačová</t>
  </si>
  <si>
    <t>Ventruba</t>
  </si>
  <si>
    <t>Nguyen Ngoc</t>
  </si>
  <si>
    <t xml:space="preserve"> 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</si>
  <si>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</si>
  <si>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</si>
  <si>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</si>
  <si>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</si>
  <si>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</si>
  <si>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</si>
  <si>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Scheib</t>
  </si>
  <si>
    <t>celkem:</t>
  </si>
  <si>
    <t>Šustr</t>
  </si>
  <si>
    <t>kg</t>
  </si>
  <si>
    <t>4.B</t>
  </si>
  <si>
    <t>18.9.</t>
  </si>
  <si>
    <t>Čížek</t>
  </si>
  <si>
    <t>Drienová</t>
  </si>
  <si>
    <t>Dubská</t>
  </si>
  <si>
    <t>Foltánová</t>
  </si>
  <si>
    <t>Renée</t>
  </si>
  <si>
    <t>Klemša</t>
  </si>
  <si>
    <t>Zdeněk</t>
  </si>
  <si>
    <t>Kloz</t>
  </si>
  <si>
    <t>Konečný</t>
  </si>
  <si>
    <t>Podrábská</t>
  </si>
  <si>
    <t>Marie</t>
  </si>
  <si>
    <t>Rasl</t>
  </si>
  <si>
    <t>Vítězslav</t>
  </si>
  <si>
    <t>Riegrová</t>
  </si>
  <si>
    <t>Starý</t>
  </si>
  <si>
    <t>Štangler</t>
  </si>
  <si>
    <t>Vaňoučková</t>
  </si>
  <si>
    <t>Vejvarová</t>
  </si>
  <si>
    <t>Zeman</t>
  </si>
  <si>
    <t>Doubková</t>
  </si>
  <si>
    <t>Nicol</t>
  </si>
  <si>
    <t>Firman</t>
  </si>
  <si>
    <t>Kasan</t>
  </si>
  <si>
    <t>Knajbl</t>
  </si>
  <si>
    <t>Kropáček</t>
  </si>
  <si>
    <t>Kurillová</t>
  </si>
  <si>
    <t>Ljach</t>
  </si>
  <si>
    <t>Mádle</t>
  </si>
  <si>
    <t>Raška</t>
  </si>
  <si>
    <t>Sasková</t>
  </si>
  <si>
    <t>Stříž</t>
  </si>
  <si>
    <t>Šálková</t>
  </si>
  <si>
    <t>Šubrtová</t>
  </si>
  <si>
    <t>Tomášek</t>
  </si>
  <si>
    <t>Žižková</t>
  </si>
  <si>
    <t>Beneš</t>
  </si>
  <si>
    <t>Malinovský</t>
  </si>
  <si>
    <t>Jaroš</t>
  </si>
  <si>
    <t>Valentýna</t>
  </si>
  <si>
    <t>Staněk</t>
  </si>
  <si>
    <t>Ngo Dinh</t>
  </si>
  <si>
    <t>Viet Hung</t>
  </si>
  <si>
    <t>Matuský</t>
  </si>
  <si>
    <t>Štěpán</t>
  </si>
  <si>
    <t>Ryšánková</t>
  </si>
  <si>
    <t>Žlůva</t>
  </si>
  <si>
    <t xml:space="preserve">Malý </t>
  </si>
  <si>
    <t>Společné</t>
  </si>
  <si>
    <t xml:space="preserve">Kastnerová </t>
  </si>
  <si>
    <t>Medžidová</t>
  </si>
  <si>
    <t>Mariam</t>
  </si>
  <si>
    <t>Šádek</t>
  </si>
  <si>
    <t>Čechtický</t>
  </si>
  <si>
    <t>25.11.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</si>
  <si>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</si>
  <si>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</si>
  <si>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</si>
  <si>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</si>
  <si>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</si>
  <si>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</si>
  <si>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</si>
  <si>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</si>
  <si>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</si>
  <si>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</si>
  <si>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</si>
  <si>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</si>
  <si>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</si>
  <si>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</si>
  <si>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</si>
  <si>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</si>
  <si>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</si>
  <si>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</si>
  <si>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x</t>
  </si>
  <si>
    <t>19.3.</t>
  </si>
  <si>
    <t xml:space="preserve">Nguenová </t>
  </si>
  <si>
    <t>Thi Ngoc Huyen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</si>
</sst>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</numFmts>
  <fonts count="25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2"/>
      <color indexed="8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E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80" fontId="9" fillId="0" borderId="6" xfId="0" applyNumberFormat="1" applyFont="1" applyBorder="1" applyAlignment="1">
      <alignment horizontal="center"/>
    </xf>
    <xf numFmtId="180" fontId="9" fillId="0" borderId="7" xfId="0" applyNumberFormat="1" applyFont="1" applyBorder="1" applyAlignment="1">
      <alignment horizontal="center"/>
    </xf>
    <xf numFmtId="180" fontId="11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80" fontId="14" fillId="2" borderId="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80" fontId="11" fillId="3" borderId="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1" fontId="2" fillId="0" borderId="19" xfId="0" applyNumberFormat="1" applyFont="1" applyBorder="1" applyAlignment="1">
      <alignment horizontal="center"/>
    </xf>
    <xf numFmtId="181" fontId="2" fillId="0" borderId="20" xfId="0" applyNumberFormat="1" applyFont="1" applyBorder="1" applyAlignment="1">
      <alignment horizontal="center"/>
    </xf>
    <xf numFmtId="181" fontId="2" fillId="0" borderId="21" xfId="0" applyNumberFormat="1" applyFont="1" applyBorder="1" applyAlignment="1">
      <alignment horizontal="center"/>
    </xf>
    <xf numFmtId="181" fontId="4" fillId="0" borderId="0" xfId="0" applyNumberFormat="1" applyFont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2" fontId="2" fillId="0" borderId="19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82" fontId="2" fillId="0" borderId="21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5" fillId="0" borderId="24" xfId="0" applyFont="1" applyBorder="1" applyAlignment="1">
      <alignment horizontal="left"/>
    </xf>
    <xf numFmtId="180" fontId="2" fillId="0" borderId="23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80" fontId="9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80" fontId="9" fillId="0" borderId="2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180" fontId="9" fillId="0" borderId="30" xfId="0" applyNumberFormat="1" applyFont="1" applyBorder="1" applyAlignment="1">
      <alignment horizontal="center"/>
    </xf>
    <xf numFmtId="180" fontId="10" fillId="4" borderId="29" xfId="0" applyNumberFormat="1" applyFont="1" applyFill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0" fontId="9" fillId="0" borderId="30" xfId="0" applyFont="1" applyBorder="1" applyAlignment="1">
      <alignment horizontal="center"/>
    </xf>
    <xf numFmtId="0" fontId="16" fillId="0" borderId="31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80" fontId="2" fillId="0" borderId="39" xfId="0" applyNumberFormat="1" applyFont="1" applyBorder="1" applyAlignment="1">
      <alignment horizontal="center"/>
    </xf>
    <xf numFmtId="180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16" fillId="0" borderId="31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0" fontId="2" fillId="0" borderId="42" xfId="0" applyFont="1" applyBorder="1" applyAlignment="1">
      <alignment/>
    </xf>
    <xf numFmtId="0" fontId="16" fillId="0" borderId="43" xfId="0" applyFont="1" applyFill="1" applyBorder="1" applyAlignment="1">
      <alignment horizontal="left" wrapText="1"/>
    </xf>
    <xf numFmtId="0" fontId="16" fillId="0" borderId="44" xfId="0" applyFont="1" applyFill="1" applyBorder="1" applyAlignment="1">
      <alignment horizontal="left" wrapText="1"/>
    </xf>
    <xf numFmtId="0" fontId="16" fillId="0" borderId="45" xfId="0" applyFont="1" applyFill="1" applyBorder="1" applyAlignment="1">
      <alignment horizontal="left" wrapText="1"/>
    </xf>
    <xf numFmtId="0" fontId="16" fillId="0" borderId="46" xfId="0" applyFont="1" applyFill="1" applyBorder="1" applyAlignment="1">
      <alignment horizontal="left" wrapText="1"/>
    </xf>
    <xf numFmtId="0" fontId="16" fillId="0" borderId="47" xfId="0" applyFont="1" applyFill="1" applyBorder="1" applyAlignment="1">
      <alignment horizontal="left" wrapText="1"/>
    </xf>
    <xf numFmtId="0" fontId="16" fillId="0" borderId="48" xfId="0" applyFont="1" applyFill="1" applyBorder="1" applyAlignment="1">
      <alignment horizontal="left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33" xfId="0" applyFont="1" applyFill="1" applyBorder="1" applyAlignment="1">
      <alignment horizontal="left" wrapText="1"/>
    </xf>
    <xf numFmtId="0" fontId="4" fillId="0" borderId="41" xfId="0" applyFont="1" applyBorder="1" applyAlignment="1">
      <alignment horizontal="center"/>
    </xf>
    <xf numFmtId="182" fontId="2" fillId="0" borderId="40" xfId="0" applyNumberFormat="1" applyFont="1" applyBorder="1" applyAlignment="1">
      <alignment/>
    </xf>
    <xf numFmtId="0" fontId="4" fillId="0" borderId="49" xfId="0" applyFont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0" fontId="9" fillId="5" borderId="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180" fontId="9" fillId="5" borderId="26" xfId="0" applyNumberFormat="1" applyFont="1" applyFill="1" applyBorder="1" applyAlignment="1">
      <alignment horizontal="center"/>
    </xf>
    <xf numFmtId="180" fontId="9" fillId="5" borderId="6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52" xfId="0" applyFont="1" applyFill="1" applyBorder="1" applyAlignment="1">
      <alignment horizontal="center"/>
    </xf>
    <xf numFmtId="180" fontId="9" fillId="5" borderId="37" xfId="0" applyNumberFormat="1" applyFont="1" applyFill="1" applyBorder="1" applyAlignment="1">
      <alignment horizontal="center"/>
    </xf>
    <xf numFmtId="180" fontId="9" fillId="5" borderId="5" xfId="0" applyNumberFormat="1" applyFont="1" applyFill="1" applyBorder="1" applyAlignment="1">
      <alignment horizontal="center"/>
    </xf>
    <xf numFmtId="180" fontId="11" fillId="3" borderId="7" xfId="0" applyNumberFormat="1" applyFont="1" applyFill="1" applyBorder="1" applyAlignment="1">
      <alignment horizontal="center"/>
    </xf>
    <xf numFmtId="180" fontId="14" fillId="2" borderId="6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80" fontId="19" fillId="0" borderId="5" xfId="0" applyNumberFormat="1" applyFont="1" applyBorder="1" applyAlignment="1">
      <alignment horizontal="center"/>
    </xf>
    <xf numFmtId="180" fontId="19" fillId="0" borderId="6" xfId="0" applyNumberFormat="1" applyFont="1" applyBorder="1" applyAlignment="1">
      <alignment horizontal="center"/>
    </xf>
    <xf numFmtId="180" fontId="19" fillId="0" borderId="7" xfId="0" applyNumberFormat="1" applyFont="1" applyBorder="1" applyAlignment="1">
      <alignment horizontal="center"/>
    </xf>
    <xf numFmtId="180" fontId="21" fillId="4" borderId="7" xfId="0" applyNumberFormat="1" applyFont="1" applyFill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7" fillId="0" borderId="0" xfId="0" applyFont="1" applyAlignment="1">
      <alignment/>
    </xf>
    <xf numFmtId="180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left"/>
    </xf>
    <xf numFmtId="180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82" fontId="7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2" fontId="2" fillId="0" borderId="56" xfId="0" applyNumberFormat="1" applyFont="1" applyBorder="1" applyAlignment="1">
      <alignment horizontal="center"/>
    </xf>
    <xf numFmtId="2" fontId="2" fillId="0" borderId="57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2" fillId="0" borderId="59" xfId="0" applyNumberFormat="1" applyFont="1" applyBorder="1" applyAlignment="1">
      <alignment horizontal="center"/>
    </xf>
    <xf numFmtId="181" fontId="2" fillId="0" borderId="57" xfId="0" applyNumberFormat="1" applyFont="1" applyBorder="1" applyAlignment="1">
      <alignment horizontal="center"/>
    </xf>
    <xf numFmtId="181" fontId="2" fillId="0" borderId="55" xfId="0" applyNumberFormat="1" applyFont="1" applyBorder="1" applyAlignment="1">
      <alignment horizontal="center"/>
    </xf>
    <xf numFmtId="181" fontId="2" fillId="0" borderId="59" xfId="0" applyNumberFormat="1" applyFont="1" applyBorder="1" applyAlignment="1">
      <alignment horizontal="center"/>
    </xf>
    <xf numFmtId="181" fontId="2" fillId="0" borderId="58" xfId="0" applyNumberFormat="1" applyFont="1" applyBorder="1" applyAlignment="1">
      <alignment horizontal="center"/>
    </xf>
    <xf numFmtId="180" fontId="5" fillId="6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wrapText="1"/>
    </xf>
    <xf numFmtId="180" fontId="19" fillId="0" borderId="5" xfId="0" applyNumberFormat="1" applyFont="1" applyFill="1" applyBorder="1" applyAlignment="1">
      <alignment horizontal="center" wrapText="1"/>
    </xf>
    <xf numFmtId="180" fontId="19" fillId="0" borderId="6" xfId="0" applyNumberFormat="1" applyFont="1" applyFill="1" applyBorder="1" applyAlignment="1">
      <alignment horizontal="center" wrapText="1"/>
    </xf>
    <xf numFmtId="180" fontId="19" fillId="0" borderId="7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60" xfId="0" applyFont="1" applyFill="1" applyBorder="1" applyAlignment="1">
      <alignment horizontal="left"/>
    </xf>
    <xf numFmtId="180" fontId="2" fillId="0" borderId="61" xfId="0" applyNumberFormat="1" applyFont="1" applyBorder="1" applyAlignment="1">
      <alignment horizontal="center"/>
    </xf>
    <xf numFmtId="0" fontId="16" fillId="0" borderId="9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16" fontId="2" fillId="0" borderId="54" xfId="0" applyNumberFormat="1" applyFont="1" applyBorder="1" applyAlignment="1">
      <alignment/>
    </xf>
    <xf numFmtId="180" fontId="2" fillId="0" borderId="13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center"/>
    </xf>
    <xf numFmtId="180" fontId="22" fillId="0" borderId="0" xfId="0" applyNumberFormat="1" applyFont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80" fontId="19" fillId="0" borderId="61" xfId="0" applyNumberFormat="1" applyFont="1" applyBorder="1" applyAlignment="1" applyProtection="1">
      <alignment horizontal="center"/>
      <protection hidden="1"/>
    </xf>
    <xf numFmtId="180" fontId="19" fillId="0" borderId="6" xfId="0" applyNumberFormat="1" applyFont="1" applyBorder="1" applyAlignment="1" applyProtection="1">
      <alignment horizontal="center"/>
      <protection hidden="1"/>
    </xf>
    <xf numFmtId="180" fontId="19" fillId="0" borderId="7" xfId="0" applyNumberFormat="1" applyFont="1" applyBorder="1" applyAlignment="1" applyProtection="1">
      <alignment horizontal="center"/>
      <protection hidden="1"/>
    </xf>
    <xf numFmtId="180" fontId="19" fillId="0" borderId="5" xfId="0" applyNumberFormat="1" applyFont="1" applyBorder="1" applyAlignment="1" applyProtection="1">
      <alignment horizontal="center"/>
      <protection locked="0"/>
    </xf>
    <xf numFmtId="180" fontId="19" fillId="0" borderId="6" xfId="0" applyNumberFormat="1" applyFont="1" applyBorder="1" applyAlignment="1" applyProtection="1">
      <alignment horizontal="center"/>
      <protection locked="0"/>
    </xf>
    <xf numFmtId="180" fontId="19" fillId="0" borderId="7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180" fontId="2" fillId="0" borderId="20" xfId="0" applyNumberFormat="1" applyFont="1" applyFill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181" fontId="22" fillId="0" borderId="20" xfId="0" applyNumberFormat="1" applyFont="1" applyBorder="1" applyAlignment="1">
      <alignment horizontal="center"/>
    </xf>
    <xf numFmtId="181" fontId="22" fillId="0" borderId="40" xfId="0" applyNumberFormat="1" applyFont="1" applyBorder="1" applyAlignment="1">
      <alignment horizontal="center"/>
    </xf>
    <xf numFmtId="181" fontId="22" fillId="0" borderId="21" xfId="0" applyNumberFormat="1" applyFont="1" applyBorder="1" applyAlignment="1">
      <alignment horizontal="center"/>
    </xf>
    <xf numFmtId="180" fontId="22" fillId="0" borderId="20" xfId="0" applyNumberFormat="1" applyFont="1" applyBorder="1" applyAlignment="1">
      <alignment horizontal="center"/>
    </xf>
    <xf numFmtId="181" fontId="22" fillId="0" borderId="0" xfId="0" applyNumberFormat="1" applyFont="1" applyAlignment="1">
      <alignment horizontal="center"/>
    </xf>
    <xf numFmtId="180" fontId="9" fillId="4" borderId="7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 horizontal="center"/>
    </xf>
    <xf numFmtId="180" fontId="9" fillId="0" borderId="6" xfId="0" applyNumberFormat="1" applyFont="1" applyFill="1" applyBorder="1" applyAlignment="1">
      <alignment horizontal="center"/>
    </xf>
    <xf numFmtId="180" fontId="22" fillId="0" borderId="22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180" fontId="9" fillId="0" borderId="37" xfId="0" applyNumberFormat="1" applyFont="1" applyFill="1" applyBorder="1" applyAlignment="1">
      <alignment horizontal="center"/>
    </xf>
    <xf numFmtId="180" fontId="9" fillId="0" borderId="5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9">
      <selection activeCell="J46" sqref="J46"/>
    </sheetView>
  </sheetViews>
  <sheetFormatPr defaultColWidth="9.140625" defaultRowHeight="12.75"/>
  <cols>
    <col min="1" max="3" width="12.7109375" style="1" customWidth="1"/>
    <col min="4" max="5" width="12.7109375" style="0" customWidth="1"/>
    <col min="6" max="6" width="12.7109375" style="1" customWidth="1"/>
    <col min="7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29" customFormat="1" ht="30" customHeight="1" thickBot="1">
      <c r="A1" s="194" t="s">
        <v>399</v>
      </c>
      <c r="B1" s="195" t="s">
        <v>398</v>
      </c>
      <c r="C1" s="196" t="s">
        <v>407</v>
      </c>
      <c r="D1" s="196" t="s">
        <v>400</v>
      </c>
      <c r="E1" s="78"/>
      <c r="F1" s="197" t="s">
        <v>464</v>
      </c>
      <c r="G1" s="197" t="s">
        <v>399</v>
      </c>
      <c r="H1" s="198" t="s">
        <v>398</v>
      </c>
      <c r="I1" s="199" t="s">
        <v>407</v>
      </c>
      <c r="J1" s="199" t="s">
        <v>400</v>
      </c>
      <c r="K1" s="78"/>
      <c r="L1" s="78"/>
      <c r="M1" s="78"/>
      <c r="N1" s="30"/>
    </row>
    <row r="2" spans="1:14" s="29" customFormat="1" ht="30" customHeight="1">
      <c r="A2" s="229" t="s">
        <v>0</v>
      </c>
      <c r="B2" s="230">
        <v>21</v>
      </c>
      <c r="C2" s="231">
        <v>1114</v>
      </c>
      <c r="D2" s="232">
        <f>C2/B2</f>
        <v>53.04761904761905</v>
      </c>
      <c r="E2" s="79"/>
      <c r="F2" s="133" t="s">
        <v>465</v>
      </c>
      <c r="G2" s="133" t="s">
        <v>37</v>
      </c>
      <c r="H2" s="134">
        <v>17</v>
      </c>
      <c r="I2" s="135">
        <v>2651.5</v>
      </c>
      <c r="J2" s="136">
        <f aca="true" t="shared" si="0" ref="J2:J19">I2/H2</f>
        <v>155.97058823529412</v>
      </c>
      <c r="K2" s="79"/>
      <c r="L2" s="79"/>
      <c r="M2" s="79"/>
      <c r="N2" s="31"/>
    </row>
    <row r="3" spans="1:14" s="29" customFormat="1" ht="30" customHeight="1">
      <c r="A3" s="224" t="s">
        <v>37</v>
      </c>
      <c r="B3" s="225">
        <v>17</v>
      </c>
      <c r="C3" s="226">
        <v>2651.5</v>
      </c>
      <c r="D3" s="227">
        <f aca="true" t="shared" si="1" ref="D3:D19">C3/B3</f>
        <v>155.97058823529412</v>
      </c>
      <c r="E3" s="79"/>
      <c r="F3" s="129" t="s">
        <v>466</v>
      </c>
      <c r="G3" s="129" t="s">
        <v>352</v>
      </c>
      <c r="H3" s="130">
        <v>20</v>
      </c>
      <c r="I3" s="131">
        <v>2159</v>
      </c>
      <c r="J3" s="132">
        <f t="shared" si="0"/>
        <v>107.95</v>
      </c>
      <c r="K3" s="79"/>
      <c r="L3" s="79"/>
      <c r="M3" s="79"/>
      <c r="N3" s="31"/>
    </row>
    <row r="4" spans="1:14" s="29" customFormat="1" ht="30" customHeight="1">
      <c r="A4" s="224" t="s">
        <v>69</v>
      </c>
      <c r="B4" s="225">
        <v>22</v>
      </c>
      <c r="C4" s="226">
        <v>1758</v>
      </c>
      <c r="D4" s="227">
        <f t="shared" si="1"/>
        <v>79.9090909090909</v>
      </c>
      <c r="E4" s="79"/>
      <c r="F4" s="129" t="s">
        <v>467</v>
      </c>
      <c r="G4" s="129" t="s">
        <v>69</v>
      </c>
      <c r="H4" s="130">
        <v>22</v>
      </c>
      <c r="I4" s="131">
        <v>1758</v>
      </c>
      <c r="J4" s="132">
        <f t="shared" si="0"/>
        <v>79.9090909090909</v>
      </c>
      <c r="K4" s="79"/>
      <c r="L4" s="79"/>
      <c r="M4" s="79"/>
      <c r="N4" s="31"/>
    </row>
    <row r="5" spans="1:16" s="29" customFormat="1" ht="30" customHeight="1">
      <c r="A5" s="32" t="s">
        <v>101</v>
      </c>
      <c r="B5" s="33">
        <v>21</v>
      </c>
      <c r="C5" s="73">
        <v>729</v>
      </c>
      <c r="D5" s="34">
        <f t="shared" si="1"/>
        <v>34.714285714285715</v>
      </c>
      <c r="E5" s="79"/>
      <c r="F5" s="32" t="s">
        <v>468</v>
      </c>
      <c r="G5" s="32" t="s">
        <v>278</v>
      </c>
      <c r="H5" s="33">
        <v>23</v>
      </c>
      <c r="I5" s="73">
        <v>1618</v>
      </c>
      <c r="J5" s="34">
        <f>I5/H5</f>
        <v>70.34782608695652</v>
      </c>
      <c r="K5" s="79"/>
      <c r="L5" s="78"/>
      <c r="M5" s="78"/>
      <c r="N5" s="78"/>
      <c r="O5" s="79"/>
      <c r="P5" s="79"/>
    </row>
    <row r="6" spans="1:15" s="29" customFormat="1" ht="30" customHeight="1">
      <c r="A6" s="32" t="s">
        <v>124</v>
      </c>
      <c r="B6" s="33">
        <v>20</v>
      </c>
      <c r="C6" s="73">
        <v>760</v>
      </c>
      <c r="D6" s="34">
        <f t="shared" si="1"/>
        <v>38</v>
      </c>
      <c r="E6" s="79"/>
      <c r="F6" s="224" t="s">
        <v>469</v>
      </c>
      <c r="G6" s="224" t="s">
        <v>247</v>
      </c>
      <c r="H6" s="225">
        <v>17</v>
      </c>
      <c r="I6" s="226">
        <v>1018</v>
      </c>
      <c r="J6" s="227">
        <f>I6/H6</f>
        <v>59.88235294117647</v>
      </c>
      <c r="K6" s="79"/>
      <c r="L6" s="78"/>
      <c r="M6" s="78"/>
      <c r="N6" s="79"/>
      <c r="O6" s="79"/>
    </row>
    <row r="7" spans="1:14" s="29" customFormat="1" ht="30" customHeight="1">
      <c r="A7" s="32" t="s">
        <v>352</v>
      </c>
      <c r="B7" s="33">
        <v>20</v>
      </c>
      <c r="C7" s="73">
        <v>2159</v>
      </c>
      <c r="D7" s="34">
        <f t="shared" si="1"/>
        <v>107.95</v>
      </c>
      <c r="E7" s="79"/>
      <c r="F7" s="32" t="s">
        <v>470</v>
      </c>
      <c r="G7" s="32" t="s">
        <v>200</v>
      </c>
      <c r="H7" s="33">
        <v>26</v>
      </c>
      <c r="I7" s="73">
        <v>1472</v>
      </c>
      <c r="J7" s="34">
        <f>I7/H7</f>
        <v>56.61538461538461</v>
      </c>
      <c r="K7" s="79"/>
      <c r="L7" s="79"/>
      <c r="M7" s="79"/>
      <c r="N7" s="31"/>
    </row>
    <row r="8" spans="1:14" s="29" customFormat="1" ht="30" customHeight="1">
      <c r="A8" s="32" t="s">
        <v>153</v>
      </c>
      <c r="B8" s="33">
        <v>23</v>
      </c>
      <c r="C8" s="73">
        <v>814</v>
      </c>
      <c r="D8" s="34">
        <f t="shared" si="1"/>
        <v>35.391304347826086</v>
      </c>
      <c r="E8" s="79"/>
      <c r="F8" s="32" t="s">
        <v>471</v>
      </c>
      <c r="G8" s="32" t="s">
        <v>0</v>
      </c>
      <c r="H8" s="33">
        <v>21</v>
      </c>
      <c r="I8" s="73">
        <v>1114</v>
      </c>
      <c r="J8" s="34">
        <f t="shared" si="0"/>
        <v>53.04761904761905</v>
      </c>
      <c r="K8" s="79"/>
      <c r="L8" s="79"/>
      <c r="M8" s="79"/>
      <c r="N8" s="31"/>
    </row>
    <row r="9" spans="1:14" s="29" customFormat="1" ht="30" customHeight="1">
      <c r="A9" s="32" t="s">
        <v>408</v>
      </c>
      <c r="B9" s="33">
        <v>21</v>
      </c>
      <c r="C9" s="73">
        <v>423</v>
      </c>
      <c r="D9" s="34">
        <f t="shared" si="1"/>
        <v>20.142857142857142</v>
      </c>
      <c r="E9" s="79"/>
      <c r="F9" s="32" t="s">
        <v>472</v>
      </c>
      <c r="G9" s="32" t="s">
        <v>345</v>
      </c>
      <c r="H9" s="33">
        <v>22</v>
      </c>
      <c r="I9" s="73">
        <v>978</v>
      </c>
      <c r="J9" s="34">
        <f t="shared" si="0"/>
        <v>44.45454545454545</v>
      </c>
      <c r="K9" s="79"/>
      <c r="L9" s="79"/>
      <c r="M9" s="79"/>
      <c r="N9" s="31"/>
    </row>
    <row r="10" spans="1:14" s="29" customFormat="1" ht="30" customHeight="1">
      <c r="A10" s="32" t="s">
        <v>200</v>
      </c>
      <c r="B10" s="33">
        <v>26</v>
      </c>
      <c r="C10" s="73">
        <v>1472</v>
      </c>
      <c r="D10" s="34">
        <f t="shared" si="1"/>
        <v>56.61538461538461</v>
      </c>
      <c r="E10" s="79"/>
      <c r="F10" s="32" t="s">
        <v>473</v>
      </c>
      <c r="G10" s="32" t="s">
        <v>124</v>
      </c>
      <c r="H10" s="33">
        <v>20</v>
      </c>
      <c r="I10" s="73">
        <v>760</v>
      </c>
      <c r="J10" s="34">
        <f t="shared" si="0"/>
        <v>38</v>
      </c>
      <c r="K10" s="79"/>
      <c r="L10" s="79"/>
      <c r="M10" s="79"/>
      <c r="N10" s="31"/>
    </row>
    <row r="11" spans="1:14" s="29" customFormat="1" ht="30" customHeight="1">
      <c r="A11" s="32" t="s">
        <v>247</v>
      </c>
      <c r="B11" s="33">
        <v>17</v>
      </c>
      <c r="C11" s="73">
        <v>1018</v>
      </c>
      <c r="D11" s="34">
        <f t="shared" si="1"/>
        <v>59.88235294117647</v>
      </c>
      <c r="E11" s="79"/>
      <c r="F11" s="32" t="s">
        <v>474</v>
      </c>
      <c r="G11" s="32" t="s">
        <v>153</v>
      </c>
      <c r="H11" s="33">
        <v>23</v>
      </c>
      <c r="I11" s="73">
        <v>814</v>
      </c>
      <c r="J11" s="34">
        <f t="shared" si="0"/>
        <v>35.391304347826086</v>
      </c>
      <c r="K11" s="79"/>
      <c r="L11" s="79"/>
      <c r="M11" s="79"/>
      <c r="N11" s="31"/>
    </row>
    <row r="12" spans="1:14" s="29" customFormat="1" ht="30" customHeight="1">
      <c r="A12" s="32" t="s">
        <v>278</v>
      </c>
      <c r="B12" s="33">
        <v>23</v>
      </c>
      <c r="C12" s="73">
        <v>1618</v>
      </c>
      <c r="D12" s="34">
        <f t="shared" si="1"/>
        <v>70.34782608695652</v>
      </c>
      <c r="E12" s="79"/>
      <c r="F12" s="32" t="s">
        <v>475</v>
      </c>
      <c r="G12" s="32" t="s">
        <v>101</v>
      </c>
      <c r="H12" s="33">
        <v>21</v>
      </c>
      <c r="I12" s="73">
        <v>729</v>
      </c>
      <c r="J12" s="34">
        <f t="shared" si="0"/>
        <v>34.714285714285715</v>
      </c>
      <c r="K12" s="79"/>
      <c r="L12" s="79"/>
      <c r="M12" s="79"/>
      <c r="N12" s="31"/>
    </row>
    <row r="13" spans="1:14" s="29" customFormat="1" ht="30" customHeight="1">
      <c r="A13" s="32" t="s">
        <v>298</v>
      </c>
      <c r="B13" s="33">
        <v>20</v>
      </c>
      <c r="C13" s="73">
        <v>330</v>
      </c>
      <c r="D13" s="34">
        <f t="shared" si="1"/>
        <v>16.5</v>
      </c>
      <c r="E13" s="79"/>
      <c r="F13" s="32" t="s">
        <v>476</v>
      </c>
      <c r="G13" s="32" t="s">
        <v>344</v>
      </c>
      <c r="H13" s="33">
        <v>25</v>
      </c>
      <c r="I13" s="73">
        <v>671</v>
      </c>
      <c r="J13" s="34">
        <f t="shared" si="0"/>
        <v>26.84</v>
      </c>
      <c r="K13" s="79"/>
      <c r="L13" s="79"/>
      <c r="M13" s="79"/>
      <c r="N13" s="31"/>
    </row>
    <row r="14" spans="1:14" s="29" customFormat="1" ht="30" customHeight="1">
      <c r="A14" s="32" t="s">
        <v>319</v>
      </c>
      <c r="B14" s="33">
        <v>26</v>
      </c>
      <c r="C14" s="73">
        <v>468</v>
      </c>
      <c r="D14" s="34">
        <f t="shared" si="1"/>
        <v>18</v>
      </c>
      <c r="E14" s="79"/>
      <c r="F14" s="32" t="s">
        <v>477</v>
      </c>
      <c r="G14" s="32" t="s">
        <v>347</v>
      </c>
      <c r="H14" s="33">
        <v>22</v>
      </c>
      <c r="I14" s="73">
        <v>509</v>
      </c>
      <c r="J14" s="34">
        <f t="shared" si="0"/>
        <v>23.136363636363637</v>
      </c>
      <c r="K14" s="79"/>
      <c r="L14" s="79"/>
      <c r="M14" s="79"/>
      <c r="N14" s="31"/>
    </row>
    <row r="15" spans="1:14" s="29" customFormat="1" ht="30" customHeight="1">
      <c r="A15" s="32" t="s">
        <v>344</v>
      </c>
      <c r="B15" s="33">
        <v>25</v>
      </c>
      <c r="C15" s="73">
        <v>671</v>
      </c>
      <c r="D15" s="34">
        <f t="shared" si="1"/>
        <v>26.84</v>
      </c>
      <c r="E15" s="79"/>
      <c r="F15" s="32" t="s">
        <v>478</v>
      </c>
      <c r="G15" s="32" t="s">
        <v>408</v>
      </c>
      <c r="H15" s="33">
        <v>21</v>
      </c>
      <c r="I15" s="73">
        <v>423</v>
      </c>
      <c r="J15" s="34">
        <f t="shared" si="0"/>
        <v>20.142857142857142</v>
      </c>
      <c r="K15" s="79"/>
      <c r="L15" s="79"/>
      <c r="M15" s="79"/>
      <c r="N15" s="31"/>
    </row>
    <row r="16" spans="1:14" s="29" customFormat="1" ht="30" customHeight="1">
      <c r="A16" s="32" t="s">
        <v>345</v>
      </c>
      <c r="B16" s="33">
        <v>22</v>
      </c>
      <c r="C16" s="73">
        <v>978</v>
      </c>
      <c r="D16" s="34">
        <f t="shared" si="1"/>
        <v>44.45454545454545</v>
      </c>
      <c r="E16" s="79"/>
      <c r="F16" s="32" t="s">
        <v>479</v>
      </c>
      <c r="G16" s="32" t="s">
        <v>348</v>
      </c>
      <c r="H16" s="33">
        <v>22</v>
      </c>
      <c r="I16" s="73">
        <v>397.5</v>
      </c>
      <c r="J16" s="34">
        <f t="shared" si="0"/>
        <v>18.068181818181817</v>
      </c>
      <c r="K16" s="79"/>
      <c r="L16" s="79"/>
      <c r="M16" s="79"/>
      <c r="N16" s="31"/>
    </row>
    <row r="17" spans="1:14" s="29" customFormat="1" ht="30" customHeight="1">
      <c r="A17" s="32" t="s">
        <v>347</v>
      </c>
      <c r="B17" s="33">
        <v>22</v>
      </c>
      <c r="C17" s="73">
        <v>509</v>
      </c>
      <c r="D17" s="34">
        <f t="shared" si="1"/>
        <v>23.136363636363637</v>
      </c>
      <c r="E17" s="79"/>
      <c r="F17" s="32" t="s">
        <v>480</v>
      </c>
      <c r="G17" s="32" t="s">
        <v>319</v>
      </c>
      <c r="H17" s="33">
        <v>26</v>
      </c>
      <c r="I17" s="73">
        <v>468</v>
      </c>
      <c r="J17" s="34">
        <f t="shared" si="0"/>
        <v>18</v>
      </c>
      <c r="K17" s="79"/>
      <c r="L17" s="79"/>
      <c r="M17" s="79"/>
      <c r="N17" s="31"/>
    </row>
    <row r="18" spans="1:14" s="29" customFormat="1" ht="30" customHeight="1" thickBot="1">
      <c r="A18" s="75" t="s">
        <v>348</v>
      </c>
      <c r="B18" s="76">
        <v>22</v>
      </c>
      <c r="C18" s="77">
        <v>397.5</v>
      </c>
      <c r="D18" s="35">
        <f t="shared" si="1"/>
        <v>18.068181818181817</v>
      </c>
      <c r="E18" s="79"/>
      <c r="F18" s="75" t="s">
        <v>481</v>
      </c>
      <c r="G18" s="75" t="s">
        <v>298</v>
      </c>
      <c r="H18" s="76">
        <v>20</v>
      </c>
      <c r="I18" s="77">
        <v>330</v>
      </c>
      <c r="J18" s="35">
        <f t="shared" si="0"/>
        <v>16.5</v>
      </c>
      <c r="K18" s="79"/>
      <c r="L18" s="79"/>
      <c r="M18" s="79"/>
      <c r="N18" s="31"/>
    </row>
    <row r="19" spans="1:14" s="29" customFormat="1" ht="30" customHeight="1" thickBot="1">
      <c r="A19" s="74" t="s">
        <v>401</v>
      </c>
      <c r="B19" s="146">
        <f>SUM(B2:B18)</f>
        <v>368</v>
      </c>
      <c r="C19" s="83">
        <f>SUM(C2:C18)</f>
        <v>17870</v>
      </c>
      <c r="D19" s="145">
        <f t="shared" si="1"/>
        <v>48.55978260869565</v>
      </c>
      <c r="E19" s="80"/>
      <c r="F19" s="74"/>
      <c r="G19" s="74" t="s">
        <v>401</v>
      </c>
      <c r="H19" s="146">
        <f>SUM(H2:H18)</f>
        <v>368</v>
      </c>
      <c r="I19" s="83">
        <f>SUM(I2:I18)</f>
        <v>17870</v>
      </c>
      <c r="J19" s="223">
        <f t="shared" si="0"/>
        <v>48.55978260869565</v>
      </c>
      <c r="K19" s="80"/>
      <c r="L19" s="79"/>
      <c r="M19" s="81"/>
      <c r="N19" s="36"/>
    </row>
    <row r="20" spans="1:13" s="29" customFormat="1" ht="24.75" customHeight="1">
      <c r="A20" s="30"/>
      <c r="B20" s="30"/>
      <c r="C20" s="30"/>
      <c r="F20" s="30"/>
      <c r="M20" s="37"/>
    </row>
    <row r="21" spans="1:6" s="29" customFormat="1" ht="23.25" customHeight="1">
      <c r="A21" s="30"/>
      <c r="B21" s="30"/>
      <c r="C21" s="30"/>
      <c r="F21" s="30"/>
    </row>
    <row r="22" ht="12.75" hidden="1"/>
    <row r="23" ht="24.75" customHeight="1"/>
    <row r="24" ht="24.75" customHeight="1" thickBot="1"/>
    <row r="25" spans="1:10" ht="24.75" customHeight="1" thickBot="1">
      <c r="A25" s="234" t="s">
        <v>402</v>
      </c>
      <c r="B25" s="235"/>
      <c r="C25" s="235"/>
      <c r="D25" s="236"/>
      <c r="F25"/>
      <c r="G25" s="237" t="s">
        <v>403</v>
      </c>
      <c r="H25" s="238"/>
      <c r="I25" s="238"/>
      <c r="J25" s="239"/>
    </row>
    <row r="26" spans="1:16" ht="24.75" customHeight="1" thickBot="1">
      <c r="A26" s="38"/>
      <c r="B26" s="26" t="s">
        <v>398</v>
      </c>
      <c r="C26" s="27" t="s">
        <v>399</v>
      </c>
      <c r="D26" s="28" t="s">
        <v>400</v>
      </c>
      <c r="F26"/>
      <c r="G26" s="38"/>
      <c r="H26" s="26" t="s">
        <v>398</v>
      </c>
      <c r="I26" s="27" t="s">
        <v>399</v>
      </c>
      <c r="J26" s="28" t="s">
        <v>400</v>
      </c>
      <c r="M26" s="240"/>
      <c r="N26" s="240"/>
      <c r="O26" s="241"/>
      <c r="P26" s="241"/>
    </row>
    <row r="27" spans="1:10" ht="24.75" customHeight="1">
      <c r="A27" s="133" t="s">
        <v>37</v>
      </c>
      <c r="B27" s="134">
        <v>17</v>
      </c>
      <c r="C27" s="135">
        <v>2651.5</v>
      </c>
      <c r="D27" s="136">
        <f aca="true" t="shared" si="2" ref="D27:D36">C27/B27</f>
        <v>155.97058823529412</v>
      </c>
      <c r="F27"/>
      <c r="G27" s="129" t="s">
        <v>278</v>
      </c>
      <c r="H27" s="130">
        <v>23</v>
      </c>
      <c r="I27" s="131">
        <v>1618</v>
      </c>
      <c r="J27" s="132">
        <f>I27/H27</f>
        <v>70.34782608695652</v>
      </c>
    </row>
    <row r="28" spans="1:10" ht="24.75" customHeight="1">
      <c r="A28" s="129" t="s">
        <v>352</v>
      </c>
      <c r="B28" s="130">
        <v>20</v>
      </c>
      <c r="C28" s="131">
        <v>2159</v>
      </c>
      <c r="D28" s="132">
        <f>C28/B28</f>
        <v>107.95</v>
      </c>
      <c r="F28"/>
      <c r="G28" s="129" t="s">
        <v>247</v>
      </c>
      <c r="H28" s="130">
        <v>17</v>
      </c>
      <c r="I28" s="131">
        <v>1018</v>
      </c>
      <c r="J28" s="132">
        <f>I28/H28</f>
        <v>59.88235294117647</v>
      </c>
    </row>
    <row r="29" spans="1:10" ht="24.75" customHeight="1">
      <c r="A29" s="129" t="s">
        <v>69</v>
      </c>
      <c r="B29" s="130">
        <v>22</v>
      </c>
      <c r="C29" s="131">
        <v>1758</v>
      </c>
      <c r="D29" s="132">
        <f>C29/B29</f>
        <v>79.9090909090909</v>
      </c>
      <c r="F29"/>
      <c r="G29" s="129" t="s">
        <v>345</v>
      </c>
      <c r="H29" s="130">
        <v>22</v>
      </c>
      <c r="I29" s="131">
        <v>978</v>
      </c>
      <c r="J29" s="132">
        <f aca="true" t="shared" si="3" ref="J27:J34">I29/H29</f>
        <v>44.45454545454545</v>
      </c>
    </row>
    <row r="30" spans="1:10" ht="24.75" customHeight="1">
      <c r="A30" s="32" t="s">
        <v>200</v>
      </c>
      <c r="B30" s="33">
        <v>26</v>
      </c>
      <c r="C30" s="73">
        <v>1472</v>
      </c>
      <c r="D30" s="34">
        <f t="shared" si="2"/>
        <v>56.61538461538461</v>
      </c>
      <c r="F30"/>
      <c r="G30" s="32" t="s">
        <v>344</v>
      </c>
      <c r="H30" s="33">
        <v>25</v>
      </c>
      <c r="I30" s="73">
        <v>671</v>
      </c>
      <c r="J30" s="34">
        <f t="shared" si="3"/>
        <v>26.84</v>
      </c>
    </row>
    <row r="31" spans="1:10" ht="24.75" customHeight="1">
      <c r="A31" s="32" t="s">
        <v>0</v>
      </c>
      <c r="B31" s="33">
        <v>21</v>
      </c>
      <c r="C31" s="73">
        <v>1114</v>
      </c>
      <c r="D31" s="34">
        <f t="shared" si="2"/>
        <v>53.04761904761905</v>
      </c>
      <c r="F31"/>
      <c r="G31" s="32" t="s">
        <v>347</v>
      </c>
      <c r="H31" s="33">
        <v>22</v>
      </c>
      <c r="I31" s="73">
        <v>509</v>
      </c>
      <c r="J31" s="34">
        <f t="shared" si="3"/>
        <v>23.136363636363637</v>
      </c>
    </row>
    <row r="32" spans="1:10" ht="24.75" customHeight="1">
      <c r="A32" s="32" t="s">
        <v>124</v>
      </c>
      <c r="B32" s="33">
        <v>20</v>
      </c>
      <c r="C32" s="73">
        <v>760</v>
      </c>
      <c r="D32" s="34">
        <f t="shared" si="2"/>
        <v>38</v>
      </c>
      <c r="F32"/>
      <c r="G32" s="32" t="s">
        <v>348</v>
      </c>
      <c r="H32" s="33">
        <v>22</v>
      </c>
      <c r="I32" s="73">
        <v>397.5</v>
      </c>
      <c r="J32" s="34">
        <f t="shared" si="3"/>
        <v>18.068181818181817</v>
      </c>
    </row>
    <row r="33" spans="1:12" ht="24.75" customHeight="1">
      <c r="A33" s="32" t="s">
        <v>153</v>
      </c>
      <c r="B33" s="33">
        <v>23</v>
      </c>
      <c r="C33" s="73">
        <v>814</v>
      </c>
      <c r="D33" s="34">
        <f t="shared" si="2"/>
        <v>35.391304347826086</v>
      </c>
      <c r="F33"/>
      <c r="G33" s="32" t="s">
        <v>319</v>
      </c>
      <c r="H33" s="33">
        <v>26</v>
      </c>
      <c r="I33" s="73">
        <v>468</v>
      </c>
      <c r="J33" s="34">
        <f t="shared" si="3"/>
        <v>18</v>
      </c>
      <c r="L33" s="21"/>
    </row>
    <row r="34" spans="1:10" ht="24.75" customHeight="1" thickBot="1">
      <c r="A34" s="32" t="s">
        <v>101</v>
      </c>
      <c r="B34" s="33">
        <v>21</v>
      </c>
      <c r="C34" s="73">
        <v>729</v>
      </c>
      <c r="D34" s="34">
        <f t="shared" si="2"/>
        <v>34.714285714285715</v>
      </c>
      <c r="F34"/>
      <c r="G34" s="75" t="s">
        <v>298</v>
      </c>
      <c r="H34" s="76">
        <v>20</v>
      </c>
      <c r="I34" s="77">
        <v>330</v>
      </c>
      <c r="J34" s="35">
        <f t="shared" si="3"/>
        <v>16.5</v>
      </c>
    </row>
    <row r="35" spans="1:10" ht="24.75" customHeight="1" thickBot="1">
      <c r="A35" s="32" t="s">
        <v>408</v>
      </c>
      <c r="B35" s="33">
        <v>21</v>
      </c>
      <c r="C35" s="73">
        <v>423</v>
      </c>
      <c r="D35" s="34">
        <f t="shared" si="2"/>
        <v>20.142857142857142</v>
      </c>
      <c r="F35"/>
      <c r="G35" s="86"/>
      <c r="H35" s="78"/>
      <c r="I35" s="82"/>
      <c r="J35" s="35"/>
    </row>
    <row r="36" spans="1:10" ht="24.75" customHeight="1" thickBot="1">
      <c r="A36" s="39" t="s">
        <v>351</v>
      </c>
      <c r="B36" s="40">
        <f>SUM(B27:B35)</f>
        <v>191</v>
      </c>
      <c r="C36" s="41">
        <f>SUM(C27:C35)</f>
        <v>11880.5</v>
      </c>
      <c r="D36" s="138">
        <f t="shared" si="2"/>
        <v>62.20157068062827</v>
      </c>
      <c r="F36"/>
      <c r="G36" s="42" t="s">
        <v>351</v>
      </c>
      <c r="H36" s="43">
        <f>SUM(H27:H35)</f>
        <v>177</v>
      </c>
      <c r="I36" s="44">
        <f>SUM(I27:I35)</f>
        <v>5989.5</v>
      </c>
      <c r="J36" s="137">
        <f>I36/H36</f>
        <v>33.83898305084746</v>
      </c>
    </row>
    <row r="39" spans="7:11" ht="18">
      <c r="G39" s="78"/>
      <c r="H39" s="78"/>
      <c r="I39" s="79"/>
      <c r="J39" s="79"/>
      <c r="K39" s="23"/>
    </row>
    <row r="43" ht="12.75">
      <c r="E43" s="21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8" r:id="rId1"/>
  <headerFooter alignWithMargins="0">
    <oddHeader>&amp;L&amp;"Arial,Tučné"&amp;16Školní sběr
( 19.3. 2009)&amp;C&amp;"Arial,Tučné"&amp;16Pořadí tříd&amp;R&amp;"Arial,Tučné"&amp;16 2008 - 2009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K28" sqref="K2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4.28125" style="1" customWidth="1"/>
    <col min="7" max="7" width="16.140625" style="1" customWidth="1"/>
    <col min="8" max="8" width="15.7109375" style="0" customWidth="1"/>
  </cols>
  <sheetData>
    <row r="1" spans="1:8" ht="24.75" customHeight="1" thickBot="1">
      <c r="A1" s="3" t="s">
        <v>200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107" t="s">
        <v>125</v>
      </c>
      <c r="C2" s="108" t="s">
        <v>83</v>
      </c>
      <c r="D2" s="11">
        <v>0</v>
      </c>
      <c r="E2" s="63">
        <v>14</v>
      </c>
      <c r="F2" s="54">
        <v>0</v>
      </c>
      <c r="G2" s="167"/>
      <c r="H2" s="142">
        <f>SUM(D2:G2)</f>
        <v>14</v>
      </c>
    </row>
    <row r="3" spans="1:8" ht="19.5" customHeight="1">
      <c r="A3" s="100">
        <v>2</v>
      </c>
      <c r="B3" s="109" t="s">
        <v>38</v>
      </c>
      <c r="C3" s="110" t="s">
        <v>70</v>
      </c>
      <c r="D3" s="12">
        <v>35</v>
      </c>
      <c r="E3" s="64">
        <v>103</v>
      </c>
      <c r="F3" s="55">
        <f>44+7</f>
        <v>51</v>
      </c>
      <c r="G3" s="168"/>
      <c r="H3" s="143">
        <f aca="true" t="shared" si="0" ref="H3:H27">SUM(D3:G3)</f>
        <v>189</v>
      </c>
    </row>
    <row r="4" spans="1:8" ht="19.5" customHeight="1">
      <c r="A4" s="100">
        <v>3</v>
      </c>
      <c r="B4" s="109" t="s">
        <v>126</v>
      </c>
      <c r="C4" s="110" t="s">
        <v>127</v>
      </c>
      <c r="D4" s="12">
        <v>5</v>
      </c>
      <c r="E4" s="64">
        <v>10</v>
      </c>
      <c r="F4" s="55">
        <v>12</v>
      </c>
      <c r="G4" s="168"/>
      <c r="H4" s="143">
        <f t="shared" si="0"/>
        <v>27</v>
      </c>
    </row>
    <row r="5" spans="1:8" ht="19.5" customHeight="1">
      <c r="A5" s="100">
        <v>4</v>
      </c>
      <c r="B5" s="109" t="s">
        <v>126</v>
      </c>
      <c r="C5" s="110" t="s">
        <v>57</v>
      </c>
      <c r="D5" s="12">
        <v>0</v>
      </c>
      <c r="E5" s="64">
        <f>220+8</f>
        <v>228</v>
      </c>
      <c r="F5" s="55">
        <v>0</v>
      </c>
      <c r="G5" s="168"/>
      <c r="H5" s="143">
        <f t="shared" si="0"/>
        <v>228</v>
      </c>
    </row>
    <row r="6" spans="1:8" ht="19.5" customHeight="1">
      <c r="A6" s="100">
        <v>5</v>
      </c>
      <c r="B6" s="109" t="s">
        <v>129</v>
      </c>
      <c r="C6" s="110" t="s">
        <v>95</v>
      </c>
      <c r="D6" s="12">
        <v>16</v>
      </c>
      <c r="E6" s="64">
        <v>20</v>
      </c>
      <c r="F6" s="55">
        <v>17</v>
      </c>
      <c r="G6" s="168"/>
      <c r="H6" s="143">
        <f t="shared" si="0"/>
        <v>53</v>
      </c>
    </row>
    <row r="7" spans="1:8" ht="19.5" customHeight="1">
      <c r="A7" s="100">
        <v>6</v>
      </c>
      <c r="B7" s="109" t="s">
        <v>14</v>
      </c>
      <c r="C7" s="110" t="s">
        <v>9</v>
      </c>
      <c r="D7" s="12">
        <v>4</v>
      </c>
      <c r="E7" s="64">
        <v>15</v>
      </c>
      <c r="F7" s="55">
        <v>28</v>
      </c>
      <c r="G7" s="168"/>
      <c r="H7" s="143">
        <f t="shared" si="0"/>
        <v>47</v>
      </c>
    </row>
    <row r="8" spans="1:8" ht="19.5" customHeight="1">
      <c r="A8" s="100">
        <v>7</v>
      </c>
      <c r="B8" s="109" t="s">
        <v>130</v>
      </c>
      <c r="C8" s="110" t="s">
        <v>4</v>
      </c>
      <c r="D8" s="12">
        <v>0</v>
      </c>
      <c r="E8" s="64">
        <v>0</v>
      </c>
      <c r="F8" s="55">
        <v>0</v>
      </c>
      <c r="G8" s="168"/>
      <c r="H8" s="143">
        <f t="shared" si="0"/>
        <v>0</v>
      </c>
    </row>
    <row r="9" spans="1:8" ht="19.5" customHeight="1">
      <c r="A9" s="100">
        <v>8</v>
      </c>
      <c r="B9" s="109" t="s">
        <v>131</v>
      </c>
      <c r="C9" s="110" t="s">
        <v>132</v>
      </c>
      <c r="D9" s="12">
        <v>36</v>
      </c>
      <c r="E9" s="64">
        <v>57</v>
      </c>
      <c r="F9" s="55">
        <v>23</v>
      </c>
      <c r="G9" s="168"/>
      <c r="H9" s="143">
        <f t="shared" si="0"/>
        <v>116</v>
      </c>
    </row>
    <row r="10" spans="1:8" ht="19.5" customHeight="1">
      <c r="A10" s="100">
        <v>9</v>
      </c>
      <c r="B10" s="109" t="s">
        <v>133</v>
      </c>
      <c r="C10" s="110" t="s">
        <v>46</v>
      </c>
      <c r="D10" s="188">
        <f>160+2</f>
        <v>162</v>
      </c>
      <c r="E10" s="64">
        <f>460+3</f>
        <v>463</v>
      </c>
      <c r="F10" s="218">
        <f>50+160+4</f>
        <v>214</v>
      </c>
      <c r="G10" s="168"/>
      <c r="H10" s="143">
        <f t="shared" si="0"/>
        <v>839</v>
      </c>
    </row>
    <row r="11" spans="1:8" ht="19.5" customHeight="1">
      <c r="A11" s="100">
        <v>10</v>
      </c>
      <c r="B11" s="109" t="s">
        <v>86</v>
      </c>
      <c r="C11" s="110" t="s">
        <v>48</v>
      </c>
      <c r="D11" s="12">
        <v>48</v>
      </c>
      <c r="E11" s="64">
        <f>64+18</f>
        <v>82</v>
      </c>
      <c r="F11" s="55">
        <v>0</v>
      </c>
      <c r="G11" s="168"/>
      <c r="H11" s="143">
        <f t="shared" si="0"/>
        <v>130</v>
      </c>
    </row>
    <row r="12" spans="1:8" ht="19.5" customHeight="1">
      <c r="A12" s="100">
        <v>11</v>
      </c>
      <c r="B12" s="109" t="s">
        <v>452</v>
      </c>
      <c r="C12" s="110" t="s">
        <v>453</v>
      </c>
      <c r="D12" s="12">
        <v>12</v>
      </c>
      <c r="E12" s="64">
        <v>0</v>
      </c>
      <c r="F12" s="55">
        <v>4</v>
      </c>
      <c r="G12" s="168"/>
      <c r="H12" s="143">
        <f t="shared" si="0"/>
        <v>16</v>
      </c>
    </row>
    <row r="13" spans="1:8" ht="19.5" customHeight="1">
      <c r="A13" s="100">
        <v>12</v>
      </c>
      <c r="B13" s="109" t="s">
        <v>136</v>
      </c>
      <c r="C13" s="110" t="s">
        <v>137</v>
      </c>
      <c r="D13" s="12">
        <f>71+49+33</f>
        <v>153</v>
      </c>
      <c r="E13" s="64">
        <v>81</v>
      </c>
      <c r="F13" s="55">
        <f>82+5+122</f>
        <v>209</v>
      </c>
      <c r="G13" s="168"/>
      <c r="H13" s="143">
        <f t="shared" si="0"/>
        <v>443</v>
      </c>
    </row>
    <row r="14" spans="1:8" ht="19.5" customHeight="1">
      <c r="A14" s="100">
        <v>13</v>
      </c>
      <c r="B14" s="109" t="s">
        <v>138</v>
      </c>
      <c r="C14" s="110" t="s">
        <v>90</v>
      </c>
      <c r="D14" s="12">
        <v>12</v>
      </c>
      <c r="E14" s="64">
        <v>15</v>
      </c>
      <c r="F14" s="55">
        <v>22</v>
      </c>
      <c r="G14" s="168"/>
      <c r="H14" s="143">
        <f t="shared" si="0"/>
        <v>49</v>
      </c>
    </row>
    <row r="15" spans="1:8" ht="19.5" customHeight="1">
      <c r="A15" s="100">
        <v>14</v>
      </c>
      <c r="B15" s="109" t="s">
        <v>139</v>
      </c>
      <c r="C15" s="110" t="s">
        <v>48</v>
      </c>
      <c r="D15" s="12">
        <v>14</v>
      </c>
      <c r="E15" s="64">
        <v>0</v>
      </c>
      <c r="F15" s="55">
        <v>0</v>
      </c>
      <c r="G15" s="168"/>
      <c r="H15" s="143">
        <f t="shared" si="0"/>
        <v>14</v>
      </c>
    </row>
    <row r="16" spans="1:8" ht="19.5" customHeight="1">
      <c r="A16" s="100">
        <v>15</v>
      </c>
      <c r="B16" s="109" t="s">
        <v>140</v>
      </c>
      <c r="C16" s="110" t="s">
        <v>141</v>
      </c>
      <c r="D16" s="12">
        <v>140</v>
      </c>
      <c r="E16" s="64">
        <v>109</v>
      </c>
      <c r="F16" s="55">
        <v>130</v>
      </c>
      <c r="G16" s="168"/>
      <c r="H16" s="143">
        <f t="shared" si="0"/>
        <v>379</v>
      </c>
    </row>
    <row r="17" spans="1:8" ht="19.5" customHeight="1">
      <c r="A17" s="100">
        <v>16</v>
      </c>
      <c r="B17" s="109" t="s">
        <v>142</v>
      </c>
      <c r="C17" s="110" t="s">
        <v>143</v>
      </c>
      <c r="D17" s="12">
        <v>23</v>
      </c>
      <c r="E17" s="64">
        <v>12</v>
      </c>
      <c r="F17" s="55">
        <v>10</v>
      </c>
      <c r="G17" s="168"/>
      <c r="H17" s="143">
        <f t="shared" si="0"/>
        <v>45</v>
      </c>
    </row>
    <row r="18" spans="1:13" ht="19.5" customHeight="1">
      <c r="A18" s="100">
        <v>17</v>
      </c>
      <c r="B18" s="109" t="s">
        <v>142</v>
      </c>
      <c r="C18" s="110" t="s">
        <v>144</v>
      </c>
      <c r="D18" s="13">
        <v>23</v>
      </c>
      <c r="E18" s="65">
        <v>12</v>
      </c>
      <c r="F18" s="56">
        <v>10</v>
      </c>
      <c r="G18" s="169"/>
      <c r="H18" s="143">
        <f t="shared" si="0"/>
        <v>45</v>
      </c>
      <c r="M18" s="23"/>
    </row>
    <row r="19" spans="1:8" ht="19.5" customHeight="1">
      <c r="A19" s="100">
        <v>18</v>
      </c>
      <c r="B19" s="109" t="s">
        <v>145</v>
      </c>
      <c r="C19" s="110" t="s">
        <v>26</v>
      </c>
      <c r="D19" s="13">
        <v>11</v>
      </c>
      <c r="E19" s="65">
        <v>51</v>
      </c>
      <c r="F19" s="56">
        <v>45</v>
      </c>
      <c r="G19" s="169"/>
      <c r="H19" s="143">
        <f t="shared" si="0"/>
        <v>107</v>
      </c>
    </row>
    <row r="20" spans="1:8" ht="19.5" customHeight="1">
      <c r="A20" s="100">
        <v>19</v>
      </c>
      <c r="B20" s="109" t="s">
        <v>146</v>
      </c>
      <c r="C20" s="110" t="s">
        <v>137</v>
      </c>
      <c r="D20" s="13">
        <f>79+106+93+30</f>
        <v>308</v>
      </c>
      <c r="E20" s="65">
        <f>200+108+127</f>
        <v>435</v>
      </c>
      <c r="F20" s="220">
        <f>240+84</f>
        <v>324</v>
      </c>
      <c r="G20" s="169"/>
      <c r="H20" s="143">
        <f t="shared" si="0"/>
        <v>1067</v>
      </c>
    </row>
    <row r="21" spans="1:8" ht="19.5" customHeight="1">
      <c r="A21" s="100">
        <v>20</v>
      </c>
      <c r="B21" s="109" t="s">
        <v>454</v>
      </c>
      <c r="C21" s="110" t="s">
        <v>13</v>
      </c>
      <c r="D21" s="12">
        <v>0</v>
      </c>
      <c r="E21" s="64">
        <v>0</v>
      </c>
      <c r="F21" s="55">
        <v>41</v>
      </c>
      <c r="G21" s="168"/>
      <c r="H21" s="143">
        <f t="shared" si="0"/>
        <v>41</v>
      </c>
    </row>
    <row r="22" spans="1:8" ht="19.5" customHeight="1">
      <c r="A22" s="8">
        <v>21</v>
      </c>
      <c r="B22" s="109" t="s">
        <v>147</v>
      </c>
      <c r="C22" s="110" t="s">
        <v>24</v>
      </c>
      <c r="D22" s="12">
        <v>0</v>
      </c>
      <c r="E22" s="64">
        <v>0</v>
      </c>
      <c r="F22" s="55">
        <v>5</v>
      </c>
      <c r="G22" s="168"/>
      <c r="H22" s="143">
        <f t="shared" si="0"/>
        <v>5</v>
      </c>
    </row>
    <row r="23" spans="1:8" ht="19.5" customHeight="1">
      <c r="A23" s="8">
        <v>22</v>
      </c>
      <c r="B23" s="109" t="s">
        <v>461</v>
      </c>
      <c r="C23" s="110" t="s">
        <v>116</v>
      </c>
      <c r="D23" s="12" t="s">
        <v>482</v>
      </c>
      <c r="E23" s="64">
        <v>0</v>
      </c>
      <c r="F23" s="55">
        <v>15</v>
      </c>
      <c r="G23" s="168"/>
      <c r="H23" s="143">
        <f t="shared" si="0"/>
        <v>15</v>
      </c>
    </row>
    <row r="24" spans="1:8" ht="19.5" customHeight="1">
      <c r="A24" s="8">
        <v>23</v>
      </c>
      <c r="B24" s="109" t="s">
        <v>148</v>
      </c>
      <c r="C24" s="110" t="s">
        <v>17</v>
      </c>
      <c r="D24" s="12">
        <v>140</v>
      </c>
      <c r="E24" s="64">
        <v>69</v>
      </c>
      <c r="F24" s="55">
        <v>15</v>
      </c>
      <c r="G24" s="168"/>
      <c r="H24" s="143">
        <f t="shared" si="0"/>
        <v>224</v>
      </c>
    </row>
    <row r="25" spans="1:8" ht="19.5" customHeight="1">
      <c r="A25" s="8">
        <v>24</v>
      </c>
      <c r="B25" s="109" t="s">
        <v>149</v>
      </c>
      <c r="C25" s="110" t="s">
        <v>150</v>
      </c>
      <c r="D25" s="12">
        <v>9</v>
      </c>
      <c r="E25" s="64">
        <v>4</v>
      </c>
      <c r="F25" s="55">
        <v>0</v>
      </c>
      <c r="G25" s="168"/>
      <c r="H25" s="143">
        <f t="shared" si="0"/>
        <v>13</v>
      </c>
    </row>
    <row r="26" spans="1:8" ht="19.5" customHeight="1">
      <c r="A26" s="8">
        <v>25</v>
      </c>
      <c r="B26" s="109" t="s">
        <v>151</v>
      </c>
      <c r="C26" s="110" t="s">
        <v>137</v>
      </c>
      <c r="D26" s="12">
        <f>64+83</f>
        <v>147</v>
      </c>
      <c r="E26" s="64">
        <f>107+50</f>
        <v>157</v>
      </c>
      <c r="F26" s="218">
        <v>220</v>
      </c>
      <c r="G26" s="168"/>
      <c r="H26" s="143">
        <f t="shared" si="0"/>
        <v>524</v>
      </c>
    </row>
    <row r="27" spans="1:8" ht="19.5" customHeight="1" thickBot="1">
      <c r="A27" s="9">
        <v>26</v>
      </c>
      <c r="B27" s="128" t="s">
        <v>152</v>
      </c>
      <c r="C27" s="113" t="s">
        <v>15</v>
      </c>
      <c r="D27" s="102">
        <v>132</v>
      </c>
      <c r="E27" s="124">
        <v>160</v>
      </c>
      <c r="F27" s="219">
        <v>40</v>
      </c>
      <c r="G27" s="170"/>
      <c r="H27" s="144">
        <f t="shared" si="0"/>
        <v>332</v>
      </c>
    </row>
    <row r="28" spans="1:8" s="147" customFormat="1" ht="15.75">
      <c r="A28" s="156"/>
      <c r="B28" s="151" t="s">
        <v>457</v>
      </c>
      <c r="D28" s="148">
        <f>19+20+22+26</f>
        <v>87</v>
      </c>
      <c r="E28" s="157"/>
      <c r="F28" s="222">
        <v>37</v>
      </c>
      <c r="G28" s="158"/>
      <c r="H28" s="148">
        <f>SUM(D28:G28)</f>
        <v>124</v>
      </c>
    </row>
    <row r="29" spans="1:7" s="147" customFormat="1" ht="16.5" thickBot="1">
      <c r="A29" s="156"/>
      <c r="B29" s="151"/>
      <c r="D29" s="148"/>
      <c r="E29" s="157"/>
      <c r="F29" s="158"/>
      <c r="G29" s="158"/>
    </row>
    <row r="30" spans="1:8" s="53" customFormat="1" ht="16.5" thickBot="1">
      <c r="A30" s="52"/>
      <c r="B30" s="172" t="s">
        <v>351</v>
      </c>
      <c r="D30" s="19">
        <f>SUM(D2:D28)</f>
        <v>1517</v>
      </c>
      <c r="E30" s="66">
        <v>2097</v>
      </c>
      <c r="F30" s="57">
        <f>SUM(F2:F28)</f>
        <v>1472</v>
      </c>
      <c r="G30" s="85">
        <f>SUM(G2:G27)</f>
        <v>0</v>
      </c>
      <c r="H30" s="171">
        <f>SUM(H2:H28)</f>
        <v>5086</v>
      </c>
    </row>
    <row r="32" spans="4:8" ht="12.75">
      <c r="D32" s="15"/>
      <c r="E32" s="233"/>
      <c r="H32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8" r:id="rId1"/>
  <headerFooter alignWithMargins="0">
    <oddHeader>&amp;C&amp;"Arial,Tučné"&amp;16Sběr 2008 - 2009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F19" sqref="F19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247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7">
        <v>1</v>
      </c>
      <c r="B2" s="114" t="s">
        <v>181</v>
      </c>
      <c r="C2" s="115" t="s">
        <v>31</v>
      </c>
      <c r="D2" s="11">
        <v>0</v>
      </c>
      <c r="E2" s="59">
        <v>57</v>
      </c>
      <c r="F2" s="46">
        <v>21</v>
      </c>
      <c r="G2" s="163"/>
      <c r="H2" s="142">
        <f>SUM(D2:G2)</f>
        <v>78</v>
      </c>
    </row>
    <row r="3" spans="1:8" ht="19.5" customHeight="1">
      <c r="A3" s="8">
        <v>2</v>
      </c>
      <c r="B3" s="116" t="s">
        <v>159</v>
      </c>
      <c r="C3" s="117" t="s">
        <v>160</v>
      </c>
      <c r="D3" s="12">
        <v>12</v>
      </c>
      <c r="E3" s="60">
        <v>12</v>
      </c>
      <c r="F3" s="47">
        <v>4</v>
      </c>
      <c r="G3" s="161"/>
      <c r="H3" s="143">
        <f aca="true" t="shared" si="0" ref="H3:H18">SUM(D3:G3)</f>
        <v>28</v>
      </c>
    </row>
    <row r="4" spans="1:8" ht="19.5" customHeight="1">
      <c r="A4" s="8">
        <v>3</v>
      </c>
      <c r="B4" s="116" t="s">
        <v>184</v>
      </c>
      <c r="C4" s="117" t="s">
        <v>150</v>
      </c>
      <c r="D4" s="12">
        <v>0</v>
      </c>
      <c r="E4" s="60">
        <v>0</v>
      </c>
      <c r="F4" s="47">
        <v>0</v>
      </c>
      <c r="G4" s="161"/>
      <c r="H4" s="143">
        <f t="shared" si="0"/>
        <v>0</v>
      </c>
    </row>
    <row r="5" spans="1:8" ht="19.5" customHeight="1">
      <c r="A5" s="8">
        <v>4</v>
      </c>
      <c r="B5" s="116" t="s">
        <v>166</v>
      </c>
      <c r="C5" s="117" t="s">
        <v>85</v>
      </c>
      <c r="D5" s="12">
        <f>98+182+142</f>
        <v>422</v>
      </c>
      <c r="E5" s="60">
        <f>37+31+22+55+11+57+37+146+126</f>
        <v>522</v>
      </c>
      <c r="F5" s="47">
        <v>94</v>
      </c>
      <c r="G5" s="161"/>
      <c r="H5" s="143">
        <f t="shared" si="0"/>
        <v>1038</v>
      </c>
    </row>
    <row r="6" spans="1:8" ht="19.5" customHeight="1">
      <c r="A6" s="8">
        <v>5</v>
      </c>
      <c r="B6" s="116" t="s">
        <v>185</v>
      </c>
      <c r="C6" s="117" t="s">
        <v>41</v>
      </c>
      <c r="D6" s="12">
        <v>0</v>
      </c>
      <c r="E6" s="60">
        <v>2</v>
      </c>
      <c r="F6" s="47">
        <v>4</v>
      </c>
      <c r="G6" s="161"/>
      <c r="H6" s="143">
        <f t="shared" si="0"/>
        <v>6</v>
      </c>
    </row>
    <row r="7" spans="1:8" ht="19.5" customHeight="1">
      <c r="A7" s="8">
        <v>6</v>
      </c>
      <c r="B7" s="116" t="s">
        <v>186</v>
      </c>
      <c r="C7" s="117" t="s">
        <v>95</v>
      </c>
      <c r="D7" s="12">
        <v>0</v>
      </c>
      <c r="E7" s="60">
        <v>0</v>
      </c>
      <c r="F7" s="47">
        <v>0</v>
      </c>
      <c r="G7" s="161"/>
      <c r="H7" s="143">
        <f t="shared" si="0"/>
        <v>0</v>
      </c>
    </row>
    <row r="8" spans="1:8" ht="19.5" customHeight="1">
      <c r="A8" s="8">
        <v>7</v>
      </c>
      <c r="B8" s="116" t="s">
        <v>168</v>
      </c>
      <c r="C8" s="117" t="s">
        <v>53</v>
      </c>
      <c r="D8" s="12">
        <v>147</v>
      </c>
      <c r="E8" s="60">
        <v>93</v>
      </c>
      <c r="F8" s="47">
        <v>0</v>
      </c>
      <c r="G8" s="161"/>
      <c r="H8" s="143">
        <f t="shared" si="0"/>
        <v>240</v>
      </c>
    </row>
    <row r="9" spans="1:8" ht="19.5" customHeight="1">
      <c r="A9" s="8">
        <v>8</v>
      </c>
      <c r="B9" s="116" t="s">
        <v>15</v>
      </c>
      <c r="C9" s="117" t="s">
        <v>114</v>
      </c>
      <c r="D9" s="12">
        <v>33</v>
      </c>
      <c r="E9" s="60">
        <v>0</v>
      </c>
      <c r="F9" s="47">
        <v>0</v>
      </c>
      <c r="G9" s="161"/>
      <c r="H9" s="143">
        <f t="shared" si="0"/>
        <v>33</v>
      </c>
    </row>
    <row r="10" spans="1:8" ht="19.5" customHeight="1">
      <c r="A10" s="8">
        <v>9</v>
      </c>
      <c r="B10" s="116" t="s">
        <v>170</v>
      </c>
      <c r="C10" s="117" t="s">
        <v>48</v>
      </c>
      <c r="D10" s="12">
        <f>73+66</f>
        <v>139</v>
      </c>
      <c r="E10" s="60">
        <f>72+34</f>
        <v>106</v>
      </c>
      <c r="F10" s="47">
        <v>170</v>
      </c>
      <c r="G10" s="161"/>
      <c r="H10" s="143">
        <f t="shared" si="0"/>
        <v>415</v>
      </c>
    </row>
    <row r="11" spans="1:8" ht="19.5" customHeight="1">
      <c r="A11" s="8">
        <v>10</v>
      </c>
      <c r="B11" s="116" t="s">
        <v>190</v>
      </c>
      <c r="C11" s="117" t="s">
        <v>97</v>
      </c>
      <c r="D11" s="12">
        <v>7</v>
      </c>
      <c r="E11" s="60">
        <v>7</v>
      </c>
      <c r="F11" s="47">
        <v>0</v>
      </c>
      <c r="G11" s="161"/>
      <c r="H11" s="143">
        <f t="shared" si="0"/>
        <v>14</v>
      </c>
    </row>
    <row r="12" spans="1:8" ht="19.5" customHeight="1">
      <c r="A12" s="8">
        <v>11</v>
      </c>
      <c r="B12" s="116" t="s">
        <v>191</v>
      </c>
      <c r="C12" s="117" t="s">
        <v>66</v>
      </c>
      <c r="D12" s="12">
        <f>92+26</f>
        <v>118</v>
      </c>
      <c r="E12" s="60">
        <f>29+29</f>
        <v>58</v>
      </c>
      <c r="F12" s="47">
        <v>0</v>
      </c>
      <c r="G12" s="161"/>
      <c r="H12" s="143">
        <f t="shared" si="0"/>
        <v>176</v>
      </c>
    </row>
    <row r="13" spans="1:8" ht="19.5" customHeight="1">
      <c r="A13" s="8">
        <v>12</v>
      </c>
      <c r="B13" s="116" t="s">
        <v>173</v>
      </c>
      <c r="C13" s="117" t="s">
        <v>174</v>
      </c>
      <c r="D13" s="12">
        <v>16</v>
      </c>
      <c r="E13" s="60">
        <v>0</v>
      </c>
      <c r="F13" s="47">
        <v>63</v>
      </c>
      <c r="G13" s="161"/>
      <c r="H13" s="143">
        <f t="shared" si="0"/>
        <v>79</v>
      </c>
    </row>
    <row r="14" spans="1:8" ht="19.5" customHeight="1">
      <c r="A14" s="8">
        <v>13</v>
      </c>
      <c r="B14" s="116" t="s">
        <v>175</v>
      </c>
      <c r="C14" s="117" t="s">
        <v>97</v>
      </c>
      <c r="D14" s="12">
        <v>38</v>
      </c>
      <c r="E14" s="60">
        <v>19</v>
      </c>
      <c r="F14" s="47">
        <v>30</v>
      </c>
      <c r="G14" s="161"/>
      <c r="H14" s="143">
        <f t="shared" si="0"/>
        <v>87</v>
      </c>
    </row>
    <row r="15" spans="1:8" ht="19.5" customHeight="1">
      <c r="A15" s="8">
        <v>14</v>
      </c>
      <c r="B15" s="116" t="s">
        <v>176</v>
      </c>
      <c r="C15" s="117" t="s">
        <v>59</v>
      </c>
      <c r="D15" s="12">
        <v>44</v>
      </c>
      <c r="E15" s="60">
        <v>0</v>
      </c>
      <c r="F15" s="47">
        <v>0</v>
      </c>
      <c r="G15" s="161"/>
      <c r="H15" s="143">
        <f t="shared" si="0"/>
        <v>44</v>
      </c>
    </row>
    <row r="16" spans="1:8" ht="19.5" customHeight="1">
      <c r="A16" s="8">
        <v>15</v>
      </c>
      <c r="B16" s="116" t="s">
        <v>195</v>
      </c>
      <c r="C16" s="117" t="s">
        <v>24</v>
      </c>
      <c r="D16" s="12">
        <v>0</v>
      </c>
      <c r="E16" s="60">
        <v>6</v>
      </c>
      <c r="F16" s="47">
        <v>4</v>
      </c>
      <c r="G16" s="161"/>
      <c r="H16" s="143">
        <f t="shared" si="0"/>
        <v>10</v>
      </c>
    </row>
    <row r="17" spans="1:8" ht="19.5" customHeight="1">
      <c r="A17" s="8">
        <v>16</v>
      </c>
      <c r="B17" s="116" t="s">
        <v>196</v>
      </c>
      <c r="C17" s="117" t="s">
        <v>197</v>
      </c>
      <c r="D17" s="12">
        <v>6</v>
      </c>
      <c r="E17" s="60">
        <v>12</v>
      </c>
      <c r="F17" s="47">
        <v>18</v>
      </c>
      <c r="G17" s="161"/>
      <c r="H17" s="143">
        <f t="shared" si="0"/>
        <v>36</v>
      </c>
    </row>
    <row r="18" spans="1:8" ht="19.5" customHeight="1" thickBot="1">
      <c r="A18" s="9">
        <v>17</v>
      </c>
      <c r="B18" s="118" t="s">
        <v>198</v>
      </c>
      <c r="C18" s="119" t="s">
        <v>135</v>
      </c>
      <c r="D18" s="189">
        <f>200+67</f>
        <v>267</v>
      </c>
      <c r="E18" s="61">
        <f>100+100+80+160+6</f>
        <v>446</v>
      </c>
      <c r="F18" s="216">
        <f>140+220+180+70</f>
        <v>610</v>
      </c>
      <c r="G18" s="162"/>
      <c r="H18" s="144">
        <f t="shared" si="0"/>
        <v>1323</v>
      </c>
    </row>
    <row r="19" spans="1:8" s="147" customFormat="1" ht="15.75">
      <c r="A19" s="155"/>
      <c r="B19" s="151" t="s">
        <v>457</v>
      </c>
      <c r="D19" s="148"/>
      <c r="E19" s="152"/>
      <c r="F19" s="150">
        <v>4</v>
      </c>
      <c r="G19" s="150"/>
      <c r="H19" s="148">
        <f>SUM(D19:G19)</f>
        <v>4</v>
      </c>
    </row>
    <row r="20" spans="4:7" ht="15.75" thickBot="1">
      <c r="D20" s="18"/>
      <c r="E20" s="15"/>
      <c r="F20" s="49"/>
      <c r="G20" s="49"/>
    </row>
    <row r="21" spans="1:8" s="53" customFormat="1" ht="16.5" thickBot="1">
      <c r="A21" s="52"/>
      <c r="B21" s="172" t="s">
        <v>351</v>
      </c>
      <c r="D21" s="19">
        <f>SUM(D2:D18)</f>
        <v>1249</v>
      </c>
      <c r="E21" s="19">
        <f>SUM(E2:E18)</f>
        <v>1340</v>
      </c>
      <c r="F21" s="50">
        <f>SUM(F2:F18)</f>
        <v>1018</v>
      </c>
      <c r="G21" s="50">
        <f>SUM(G2:G19)</f>
        <v>0</v>
      </c>
      <c r="H21" s="171">
        <f>SUM(H2:H19)</f>
        <v>3611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2008 - 2009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G32" sqref="G32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7" t="s">
        <v>278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179</v>
      </c>
      <c r="C2" s="94" t="s">
        <v>76</v>
      </c>
      <c r="D2" s="11">
        <v>0</v>
      </c>
      <c r="E2" s="59">
        <v>0</v>
      </c>
      <c r="F2" s="46">
        <v>44</v>
      </c>
      <c r="G2" s="163"/>
      <c r="H2" s="142">
        <f>SUM(D2:G2)</f>
        <v>44</v>
      </c>
    </row>
    <row r="3" spans="1:8" ht="19.5" customHeight="1">
      <c r="A3" s="100">
        <v>2</v>
      </c>
      <c r="B3" s="95" t="s">
        <v>154</v>
      </c>
      <c r="C3" s="96" t="s">
        <v>155</v>
      </c>
      <c r="D3" s="12">
        <f>39+13</f>
        <v>52</v>
      </c>
      <c r="E3" s="60">
        <v>100</v>
      </c>
      <c r="F3" s="47">
        <v>52</v>
      </c>
      <c r="G3" s="161"/>
      <c r="H3" s="143">
        <f aca="true" t="shared" si="0" ref="H3:H24">SUM(D3:G3)</f>
        <v>204</v>
      </c>
    </row>
    <row r="4" spans="1:8" ht="19.5" customHeight="1">
      <c r="A4" s="100">
        <v>3</v>
      </c>
      <c r="B4" s="95" t="s">
        <v>156</v>
      </c>
      <c r="C4" s="96" t="s">
        <v>157</v>
      </c>
      <c r="D4" s="12">
        <v>0</v>
      </c>
      <c r="E4" s="60">
        <v>16</v>
      </c>
      <c r="F4" s="47">
        <v>61</v>
      </c>
      <c r="G4" s="161"/>
      <c r="H4" s="143">
        <f t="shared" si="0"/>
        <v>77</v>
      </c>
    </row>
    <row r="5" spans="1:8" ht="19.5" customHeight="1">
      <c r="A5" s="100">
        <v>4</v>
      </c>
      <c r="B5" s="95" t="s">
        <v>158</v>
      </c>
      <c r="C5" s="96" t="s">
        <v>99</v>
      </c>
      <c r="D5" s="12">
        <v>19</v>
      </c>
      <c r="E5" s="60">
        <v>0</v>
      </c>
      <c r="F5" s="47">
        <v>0</v>
      </c>
      <c r="G5" s="161"/>
      <c r="H5" s="143">
        <f t="shared" si="0"/>
        <v>19</v>
      </c>
    </row>
    <row r="6" spans="1:8" ht="19.5" customHeight="1">
      <c r="A6" s="100">
        <v>5</v>
      </c>
      <c r="B6" s="95" t="s">
        <v>180</v>
      </c>
      <c r="C6" s="96" t="s">
        <v>24</v>
      </c>
      <c r="D6" s="12">
        <v>15</v>
      </c>
      <c r="E6" s="60">
        <v>3</v>
      </c>
      <c r="F6" s="47">
        <v>0</v>
      </c>
      <c r="G6" s="161"/>
      <c r="H6" s="143">
        <f t="shared" si="0"/>
        <v>18</v>
      </c>
    </row>
    <row r="7" spans="1:8" ht="19.5" customHeight="1">
      <c r="A7" s="100">
        <v>6</v>
      </c>
      <c r="B7" s="95" t="s">
        <v>182</v>
      </c>
      <c r="C7" s="96" t="s">
        <v>183</v>
      </c>
      <c r="D7" s="12">
        <v>33</v>
      </c>
      <c r="E7" s="60">
        <v>36</v>
      </c>
      <c r="F7" s="47">
        <v>0</v>
      </c>
      <c r="G7" s="161"/>
      <c r="H7" s="143">
        <f t="shared" si="0"/>
        <v>69</v>
      </c>
    </row>
    <row r="8" spans="1:8" ht="19.5" customHeight="1">
      <c r="A8" s="100">
        <v>7</v>
      </c>
      <c r="B8" s="95" t="s">
        <v>161</v>
      </c>
      <c r="C8" s="96" t="s">
        <v>121</v>
      </c>
      <c r="D8" s="12">
        <v>30</v>
      </c>
      <c r="E8" s="60">
        <v>13</v>
      </c>
      <c r="F8" s="47">
        <v>14</v>
      </c>
      <c r="G8" s="161"/>
      <c r="H8" s="143">
        <f t="shared" si="0"/>
        <v>57</v>
      </c>
    </row>
    <row r="9" spans="1:8" ht="19.5" customHeight="1">
      <c r="A9" s="100">
        <v>8</v>
      </c>
      <c r="B9" s="95" t="s">
        <v>162</v>
      </c>
      <c r="C9" s="96" t="s">
        <v>97</v>
      </c>
      <c r="D9" s="12">
        <v>69</v>
      </c>
      <c r="E9" s="60">
        <v>135</v>
      </c>
      <c r="F9" s="47">
        <v>75</v>
      </c>
      <c r="G9" s="161"/>
      <c r="H9" s="143">
        <f t="shared" si="0"/>
        <v>279</v>
      </c>
    </row>
    <row r="10" spans="1:8" ht="19.5" customHeight="1">
      <c r="A10" s="100">
        <v>9</v>
      </c>
      <c r="B10" s="95" t="s">
        <v>163</v>
      </c>
      <c r="C10" s="96" t="s">
        <v>64</v>
      </c>
      <c r="D10" s="12">
        <v>10</v>
      </c>
      <c r="E10" s="60">
        <v>0</v>
      </c>
      <c r="F10" s="47">
        <v>15</v>
      </c>
      <c r="G10" s="161"/>
      <c r="H10" s="143">
        <f t="shared" si="0"/>
        <v>25</v>
      </c>
    </row>
    <row r="11" spans="1:8" ht="19.5" customHeight="1">
      <c r="A11" s="100">
        <v>10</v>
      </c>
      <c r="B11" s="95" t="s">
        <v>164</v>
      </c>
      <c r="C11" s="96" t="s">
        <v>165</v>
      </c>
      <c r="D11" s="12">
        <v>15</v>
      </c>
      <c r="E11" s="60">
        <f>21+12</f>
        <v>33</v>
      </c>
      <c r="F11" s="47">
        <v>6</v>
      </c>
      <c r="G11" s="161"/>
      <c r="H11" s="143">
        <f t="shared" si="0"/>
        <v>54</v>
      </c>
    </row>
    <row r="12" spans="1:8" ht="19.5" customHeight="1">
      <c r="A12" s="100">
        <v>11</v>
      </c>
      <c r="B12" s="95" t="s">
        <v>134</v>
      </c>
      <c r="C12" s="96" t="s">
        <v>95</v>
      </c>
      <c r="D12" s="12">
        <v>50</v>
      </c>
      <c r="E12" s="60">
        <v>0</v>
      </c>
      <c r="F12" s="47">
        <v>0</v>
      </c>
      <c r="G12" s="161"/>
      <c r="H12" s="143">
        <f t="shared" si="0"/>
        <v>50</v>
      </c>
    </row>
    <row r="13" spans="1:8" ht="19.5" customHeight="1">
      <c r="A13" s="100">
        <v>12</v>
      </c>
      <c r="B13" s="95" t="s">
        <v>167</v>
      </c>
      <c r="C13" s="96" t="s">
        <v>70</v>
      </c>
      <c r="D13" s="12">
        <v>50</v>
      </c>
      <c r="E13" s="60">
        <v>81</v>
      </c>
      <c r="F13" s="47">
        <v>90</v>
      </c>
      <c r="G13" s="161"/>
      <c r="H13" s="143">
        <f t="shared" si="0"/>
        <v>221</v>
      </c>
    </row>
    <row r="14" spans="1:8" ht="19.5" customHeight="1">
      <c r="A14" s="100">
        <v>13</v>
      </c>
      <c r="B14" s="95" t="s">
        <v>113</v>
      </c>
      <c r="C14" s="96" t="s">
        <v>9</v>
      </c>
      <c r="D14" s="188">
        <v>50</v>
      </c>
      <c r="E14" s="60">
        <v>33</v>
      </c>
      <c r="F14" s="215">
        <v>60</v>
      </c>
      <c r="G14" s="161"/>
      <c r="H14" s="143">
        <f t="shared" si="0"/>
        <v>143</v>
      </c>
    </row>
    <row r="15" spans="1:8" ht="19.5" customHeight="1">
      <c r="A15" s="100">
        <v>14</v>
      </c>
      <c r="B15" s="95" t="s">
        <v>187</v>
      </c>
      <c r="C15" s="96" t="s">
        <v>97</v>
      </c>
      <c r="D15" s="188">
        <f>50+22</f>
        <v>72</v>
      </c>
      <c r="E15" s="60">
        <v>4</v>
      </c>
      <c r="F15" s="215">
        <v>130</v>
      </c>
      <c r="G15" s="161"/>
      <c r="H15" s="143">
        <f t="shared" si="0"/>
        <v>206</v>
      </c>
    </row>
    <row r="16" spans="1:8" ht="19.5" customHeight="1">
      <c r="A16" s="100">
        <v>15</v>
      </c>
      <c r="B16" s="95" t="s">
        <v>188</v>
      </c>
      <c r="C16" s="96" t="s">
        <v>41</v>
      </c>
      <c r="D16" s="188">
        <v>20</v>
      </c>
      <c r="E16" s="60">
        <v>84</v>
      </c>
      <c r="F16" s="47">
        <v>64</v>
      </c>
      <c r="G16" s="161"/>
      <c r="H16" s="143">
        <f t="shared" si="0"/>
        <v>168</v>
      </c>
    </row>
    <row r="17" spans="1:8" ht="19.5" customHeight="1">
      <c r="A17" s="100">
        <v>16</v>
      </c>
      <c r="B17" s="95" t="s">
        <v>189</v>
      </c>
      <c r="C17" s="96" t="s">
        <v>19</v>
      </c>
      <c r="D17" s="188">
        <v>0</v>
      </c>
      <c r="E17" s="60">
        <v>0</v>
      </c>
      <c r="F17" s="47">
        <v>0</v>
      </c>
      <c r="G17" s="161"/>
      <c r="H17" s="143">
        <f t="shared" si="0"/>
        <v>0</v>
      </c>
    </row>
    <row r="18" spans="1:8" ht="19.5" customHeight="1">
      <c r="A18" s="100">
        <v>17</v>
      </c>
      <c r="B18" s="95" t="s">
        <v>171</v>
      </c>
      <c r="C18" s="96" t="s">
        <v>172</v>
      </c>
      <c r="D18" s="188">
        <f>45+63+12+60+26</f>
        <v>206</v>
      </c>
      <c r="E18" s="60">
        <f>70+106</f>
        <v>176</v>
      </c>
      <c r="F18" s="47">
        <v>38</v>
      </c>
      <c r="G18" s="161"/>
      <c r="H18" s="143">
        <f t="shared" si="0"/>
        <v>420</v>
      </c>
    </row>
    <row r="19" spans="1:8" ht="19.5" customHeight="1">
      <c r="A19" s="100">
        <v>18</v>
      </c>
      <c r="B19" s="95" t="s">
        <v>192</v>
      </c>
      <c r="C19" s="96" t="s">
        <v>70</v>
      </c>
      <c r="D19" s="188">
        <v>80</v>
      </c>
      <c r="E19" s="60">
        <v>7</v>
      </c>
      <c r="F19" s="47">
        <v>380</v>
      </c>
      <c r="G19" s="161"/>
      <c r="H19" s="143">
        <f t="shared" si="0"/>
        <v>467</v>
      </c>
    </row>
    <row r="20" spans="1:8" ht="19.5" customHeight="1">
      <c r="A20" s="100">
        <v>19</v>
      </c>
      <c r="B20" s="95" t="s">
        <v>406</v>
      </c>
      <c r="C20" s="96" t="s">
        <v>31</v>
      </c>
      <c r="D20" s="12">
        <v>0</v>
      </c>
      <c r="E20" s="60">
        <v>0</v>
      </c>
      <c r="F20" s="47">
        <v>0</v>
      </c>
      <c r="G20" s="161"/>
      <c r="H20" s="143">
        <f t="shared" si="0"/>
        <v>0</v>
      </c>
    </row>
    <row r="21" spans="1:8" ht="19.5" customHeight="1">
      <c r="A21" s="100">
        <v>20</v>
      </c>
      <c r="B21" s="95" t="s">
        <v>32</v>
      </c>
      <c r="C21" s="96" t="s">
        <v>193</v>
      </c>
      <c r="D21" s="12">
        <v>6</v>
      </c>
      <c r="E21" s="60">
        <v>18</v>
      </c>
      <c r="F21" s="47">
        <v>10</v>
      </c>
      <c r="G21" s="161"/>
      <c r="H21" s="143">
        <f t="shared" si="0"/>
        <v>34</v>
      </c>
    </row>
    <row r="22" spans="1:8" ht="19.5" customHeight="1">
      <c r="A22" s="100">
        <v>21</v>
      </c>
      <c r="B22" s="95" t="s">
        <v>194</v>
      </c>
      <c r="C22" s="96" t="s">
        <v>53</v>
      </c>
      <c r="D22" s="12">
        <v>45</v>
      </c>
      <c r="E22" s="60">
        <v>19</v>
      </c>
      <c r="F22" s="47">
        <v>9</v>
      </c>
      <c r="G22" s="161"/>
      <c r="H22" s="143">
        <f t="shared" si="0"/>
        <v>73</v>
      </c>
    </row>
    <row r="23" spans="1:8" ht="19.5" customHeight="1">
      <c r="A23" s="100">
        <v>22</v>
      </c>
      <c r="B23" s="95" t="s">
        <v>177</v>
      </c>
      <c r="C23" s="96" t="s">
        <v>178</v>
      </c>
      <c r="D23" s="12">
        <f>351+1530+165</f>
        <v>2046</v>
      </c>
      <c r="E23" s="60">
        <f>1026+225</f>
        <v>1251</v>
      </c>
      <c r="F23" s="47">
        <v>500</v>
      </c>
      <c r="G23" s="161"/>
      <c r="H23" s="143">
        <f t="shared" si="0"/>
        <v>3797</v>
      </c>
    </row>
    <row r="24" spans="1:8" ht="19.5" customHeight="1" thickBot="1">
      <c r="A24" s="105">
        <v>23</v>
      </c>
      <c r="B24" s="97" t="s">
        <v>199</v>
      </c>
      <c r="C24" s="98" t="s">
        <v>137</v>
      </c>
      <c r="D24" s="14">
        <v>35</v>
      </c>
      <c r="E24" s="61">
        <v>0</v>
      </c>
      <c r="F24" s="51">
        <v>3</v>
      </c>
      <c r="G24" s="162"/>
      <c r="H24" s="144">
        <f t="shared" si="0"/>
        <v>38</v>
      </c>
    </row>
    <row r="25" spans="1:8" s="147" customFormat="1" ht="15.75">
      <c r="A25" s="155"/>
      <c r="B25" s="151" t="s">
        <v>457</v>
      </c>
      <c r="D25" s="148"/>
      <c r="E25" s="148"/>
      <c r="F25" s="150">
        <v>67</v>
      </c>
      <c r="G25" s="150"/>
      <c r="H25" s="159">
        <f>SUM(D25:G25)</f>
        <v>67</v>
      </c>
    </row>
    <row r="26" spans="4:7" ht="15.75" thickBot="1">
      <c r="D26" s="17"/>
      <c r="E26" s="17"/>
      <c r="F26" s="49"/>
      <c r="G26" s="49"/>
    </row>
    <row r="27" spans="1:8" s="53" customFormat="1" ht="16.5" thickBot="1">
      <c r="A27" s="52"/>
      <c r="B27" s="172" t="s">
        <v>351</v>
      </c>
      <c r="D27" s="19">
        <f>SUM(D2:D24)</f>
        <v>2903</v>
      </c>
      <c r="E27" s="19">
        <f>SUM(E2:E24)</f>
        <v>2009</v>
      </c>
      <c r="F27" s="50">
        <f>SUM(F2:F25)</f>
        <v>1618</v>
      </c>
      <c r="G27" s="50">
        <f>SUM(G2:G25)</f>
        <v>0</v>
      </c>
      <c r="H27" s="171">
        <f>SUM(H2:H25)</f>
        <v>6530</v>
      </c>
    </row>
    <row r="29" ht="12.75">
      <c r="H29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2008 - 2009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G33" sqref="G33"/>
    </sheetView>
  </sheetViews>
  <sheetFormatPr defaultColWidth="9.140625" defaultRowHeight="12.75"/>
  <cols>
    <col min="1" max="1" width="5.140625" style="2" customWidth="1"/>
    <col min="2" max="2" width="18.8515625" style="0" customWidth="1"/>
    <col min="3" max="3" width="17.28125" style="0" customWidth="1"/>
    <col min="4" max="4" width="12.7109375" style="1" customWidth="1"/>
    <col min="5" max="7" width="12.7109375" style="0" customWidth="1"/>
    <col min="8" max="8" width="15.57421875" style="72" customWidth="1"/>
  </cols>
  <sheetData>
    <row r="1" spans="1:8" ht="24.75" customHeight="1" thickBot="1">
      <c r="A1" s="6" t="s">
        <v>298</v>
      </c>
      <c r="B1" s="10" t="s">
        <v>349</v>
      </c>
      <c r="C1" s="69" t="s">
        <v>350</v>
      </c>
      <c r="D1" s="176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201</v>
      </c>
      <c r="C2" s="94" t="s">
        <v>41</v>
      </c>
      <c r="D2" s="11">
        <v>28</v>
      </c>
      <c r="E2" s="59">
        <v>22</v>
      </c>
      <c r="F2" s="59">
        <v>14</v>
      </c>
      <c r="G2" s="163"/>
      <c r="H2" s="173">
        <f>SUM(D2:G2)</f>
        <v>64</v>
      </c>
    </row>
    <row r="3" spans="1:8" ht="19.5" customHeight="1">
      <c r="A3" s="100">
        <v>2</v>
      </c>
      <c r="B3" s="95" t="s">
        <v>202</v>
      </c>
      <c r="C3" s="96" t="s">
        <v>137</v>
      </c>
      <c r="D3" s="12">
        <v>26</v>
      </c>
      <c r="E3" s="60">
        <v>44</v>
      </c>
      <c r="F3" s="60">
        <v>74</v>
      </c>
      <c r="G3" s="161"/>
      <c r="H3" s="174">
        <f aca="true" t="shared" si="0" ref="H3:H21">SUM(D3:G3)</f>
        <v>144</v>
      </c>
    </row>
    <row r="4" spans="1:8" ht="19.5" customHeight="1">
      <c r="A4" s="106">
        <v>3</v>
      </c>
      <c r="B4" s="95" t="s">
        <v>203</v>
      </c>
      <c r="C4" s="96" t="s">
        <v>135</v>
      </c>
      <c r="D4" s="12">
        <v>10</v>
      </c>
      <c r="E4" s="60">
        <v>0</v>
      </c>
      <c r="F4" s="60">
        <v>4</v>
      </c>
      <c r="G4" s="161"/>
      <c r="H4" s="174">
        <f t="shared" si="0"/>
        <v>14</v>
      </c>
    </row>
    <row r="5" spans="1:8" ht="19.5" customHeight="1">
      <c r="A5" s="100">
        <v>4</v>
      </c>
      <c r="B5" s="95" t="s">
        <v>204</v>
      </c>
      <c r="C5" s="96" t="s">
        <v>110</v>
      </c>
      <c r="D5" s="12">
        <v>20</v>
      </c>
      <c r="E5" s="60">
        <v>19</v>
      </c>
      <c r="F5" s="60">
        <v>12</v>
      </c>
      <c r="G5" s="161"/>
      <c r="H5" s="174">
        <f t="shared" si="0"/>
        <v>51</v>
      </c>
    </row>
    <row r="6" spans="1:8" ht="19.5" customHeight="1">
      <c r="A6" s="106">
        <v>5</v>
      </c>
      <c r="B6" s="95" t="s">
        <v>206</v>
      </c>
      <c r="C6" s="96" t="s">
        <v>207</v>
      </c>
      <c r="D6" s="12">
        <v>16</v>
      </c>
      <c r="E6" s="60">
        <v>0</v>
      </c>
      <c r="F6" s="60">
        <v>12</v>
      </c>
      <c r="G6" s="161"/>
      <c r="H6" s="174">
        <f t="shared" si="0"/>
        <v>28</v>
      </c>
    </row>
    <row r="7" spans="1:8" ht="19.5" customHeight="1">
      <c r="A7" s="100">
        <v>6</v>
      </c>
      <c r="B7" s="95" t="s">
        <v>208</v>
      </c>
      <c r="C7" s="96" t="s">
        <v>121</v>
      </c>
      <c r="D7" s="12">
        <v>4</v>
      </c>
      <c r="E7" s="60">
        <v>0</v>
      </c>
      <c r="F7" s="60">
        <v>10</v>
      </c>
      <c r="G7" s="161"/>
      <c r="H7" s="174">
        <f t="shared" si="0"/>
        <v>14</v>
      </c>
    </row>
    <row r="8" spans="1:8" ht="19.5" customHeight="1">
      <c r="A8" s="106">
        <v>7</v>
      </c>
      <c r="B8" s="95" t="s">
        <v>209</v>
      </c>
      <c r="C8" s="96" t="s">
        <v>90</v>
      </c>
      <c r="D8" s="12">
        <v>114</v>
      </c>
      <c r="E8" s="60">
        <f>85+50</f>
        <v>135</v>
      </c>
      <c r="F8" s="60">
        <v>1</v>
      </c>
      <c r="G8" s="161"/>
      <c r="H8" s="174">
        <f t="shared" si="0"/>
        <v>250</v>
      </c>
    </row>
    <row r="9" spans="1:8" ht="19.5" customHeight="1">
      <c r="A9" s="100">
        <v>8</v>
      </c>
      <c r="B9" s="95" t="s">
        <v>210</v>
      </c>
      <c r="C9" s="96" t="s">
        <v>26</v>
      </c>
      <c r="D9" s="12">
        <v>11</v>
      </c>
      <c r="E9" s="60">
        <v>18</v>
      </c>
      <c r="F9" s="60">
        <v>6</v>
      </c>
      <c r="G9" s="161"/>
      <c r="H9" s="174">
        <f t="shared" si="0"/>
        <v>35</v>
      </c>
    </row>
    <row r="10" spans="1:8" ht="19.5" customHeight="1">
      <c r="A10" s="106">
        <v>9</v>
      </c>
      <c r="B10" s="95" t="s">
        <v>211</v>
      </c>
      <c r="C10" s="96" t="s">
        <v>212</v>
      </c>
      <c r="D10" s="12">
        <v>6</v>
      </c>
      <c r="E10" s="60">
        <v>8</v>
      </c>
      <c r="F10" s="60">
        <v>12</v>
      </c>
      <c r="G10" s="161"/>
      <c r="H10" s="174">
        <f t="shared" si="0"/>
        <v>26</v>
      </c>
    </row>
    <row r="11" spans="1:8" ht="19.5" customHeight="1">
      <c r="A11" s="100">
        <v>10</v>
      </c>
      <c r="B11" s="95" t="s">
        <v>213</v>
      </c>
      <c r="C11" s="96" t="s">
        <v>31</v>
      </c>
      <c r="D11" s="12">
        <f>22+9</f>
        <v>31</v>
      </c>
      <c r="E11" s="60">
        <v>10</v>
      </c>
      <c r="F11" s="60">
        <v>6</v>
      </c>
      <c r="G11" s="161"/>
      <c r="H11" s="174">
        <f t="shared" si="0"/>
        <v>47</v>
      </c>
    </row>
    <row r="12" spans="1:8" ht="19.5" customHeight="1">
      <c r="A12" s="106">
        <v>11</v>
      </c>
      <c r="B12" s="209" t="s">
        <v>484</v>
      </c>
      <c r="C12" s="210" t="s">
        <v>485</v>
      </c>
      <c r="D12" s="12">
        <v>10</v>
      </c>
      <c r="E12" s="60">
        <v>7</v>
      </c>
      <c r="F12" s="60">
        <v>2</v>
      </c>
      <c r="G12" s="161"/>
      <c r="H12" s="174">
        <f t="shared" si="0"/>
        <v>19</v>
      </c>
    </row>
    <row r="13" spans="1:8" ht="19.5" customHeight="1">
      <c r="A13" s="100">
        <v>12</v>
      </c>
      <c r="B13" s="95" t="s">
        <v>214</v>
      </c>
      <c r="C13" s="96" t="s">
        <v>13</v>
      </c>
      <c r="D13" s="12">
        <v>6</v>
      </c>
      <c r="E13" s="60">
        <v>5</v>
      </c>
      <c r="F13" s="60">
        <v>6</v>
      </c>
      <c r="G13" s="161"/>
      <c r="H13" s="174">
        <f t="shared" si="0"/>
        <v>17</v>
      </c>
    </row>
    <row r="14" spans="1:8" ht="19.5" customHeight="1">
      <c r="A14" s="106">
        <v>13</v>
      </c>
      <c r="B14" s="95" t="s">
        <v>215</v>
      </c>
      <c r="C14" s="96" t="s">
        <v>157</v>
      </c>
      <c r="D14" s="12">
        <v>0</v>
      </c>
      <c r="E14" s="60">
        <v>3</v>
      </c>
      <c r="F14" s="60">
        <v>0</v>
      </c>
      <c r="G14" s="161"/>
      <c r="H14" s="174">
        <f t="shared" si="0"/>
        <v>3</v>
      </c>
    </row>
    <row r="15" spans="1:8" ht="19.5" customHeight="1">
      <c r="A15" s="100">
        <v>14</v>
      </c>
      <c r="B15" s="95" t="s">
        <v>216</v>
      </c>
      <c r="C15" s="96" t="s">
        <v>110</v>
      </c>
      <c r="D15" s="13">
        <v>20</v>
      </c>
      <c r="E15" s="62">
        <v>4</v>
      </c>
      <c r="F15" s="62">
        <v>8</v>
      </c>
      <c r="G15" s="166"/>
      <c r="H15" s="174">
        <f t="shared" si="0"/>
        <v>32</v>
      </c>
    </row>
    <row r="16" spans="1:8" ht="19.5" customHeight="1">
      <c r="A16" s="106">
        <v>15</v>
      </c>
      <c r="B16" s="95" t="s">
        <v>217</v>
      </c>
      <c r="C16" s="96" t="s">
        <v>85</v>
      </c>
      <c r="D16" s="13">
        <f>83+82+56</f>
        <v>221</v>
      </c>
      <c r="E16" s="62">
        <v>153</v>
      </c>
      <c r="F16" s="62">
        <v>25</v>
      </c>
      <c r="G16" s="166"/>
      <c r="H16" s="174">
        <f t="shared" si="0"/>
        <v>399</v>
      </c>
    </row>
    <row r="17" spans="1:8" ht="19.5" customHeight="1">
      <c r="A17" s="100">
        <v>16</v>
      </c>
      <c r="B17" s="95" t="s">
        <v>272</v>
      </c>
      <c r="C17" s="96" t="s">
        <v>9</v>
      </c>
      <c r="D17" s="13">
        <v>0</v>
      </c>
      <c r="E17" s="62">
        <v>0</v>
      </c>
      <c r="F17" s="62">
        <v>0</v>
      </c>
      <c r="G17" s="166"/>
      <c r="H17" s="174">
        <f t="shared" si="0"/>
        <v>0</v>
      </c>
    </row>
    <row r="18" spans="1:8" ht="19.5" customHeight="1">
      <c r="A18" s="106">
        <v>17</v>
      </c>
      <c r="B18" s="95" t="s">
        <v>218</v>
      </c>
      <c r="C18" s="96" t="s">
        <v>97</v>
      </c>
      <c r="D18" s="12">
        <v>14</v>
      </c>
      <c r="E18" s="60">
        <v>0</v>
      </c>
      <c r="F18" s="60">
        <v>19</v>
      </c>
      <c r="G18" s="161"/>
      <c r="H18" s="174">
        <f t="shared" si="0"/>
        <v>33</v>
      </c>
    </row>
    <row r="19" spans="1:8" ht="19.5" customHeight="1">
      <c r="A19" s="100">
        <v>18</v>
      </c>
      <c r="B19" s="95" t="s">
        <v>219</v>
      </c>
      <c r="C19" s="96" t="s">
        <v>17</v>
      </c>
      <c r="D19" s="13">
        <v>225</v>
      </c>
      <c r="E19" s="62">
        <v>106</v>
      </c>
      <c r="F19" s="62">
        <v>109</v>
      </c>
      <c r="G19" s="166"/>
      <c r="H19" s="174">
        <f t="shared" si="0"/>
        <v>440</v>
      </c>
    </row>
    <row r="20" spans="1:8" ht="19.5" customHeight="1">
      <c r="A20" s="106">
        <v>19</v>
      </c>
      <c r="B20" s="95" t="s">
        <v>151</v>
      </c>
      <c r="C20" s="96" t="s">
        <v>70</v>
      </c>
      <c r="D20" s="12">
        <v>2</v>
      </c>
      <c r="E20" s="60">
        <v>7</v>
      </c>
      <c r="F20" s="60">
        <v>7</v>
      </c>
      <c r="G20" s="161"/>
      <c r="H20" s="174">
        <f t="shared" si="0"/>
        <v>16</v>
      </c>
    </row>
    <row r="21" spans="1:8" ht="19.5" customHeight="1" thickBot="1">
      <c r="A21" s="105">
        <v>20</v>
      </c>
      <c r="B21" s="97" t="s">
        <v>220</v>
      </c>
      <c r="C21" s="98" t="s">
        <v>33</v>
      </c>
      <c r="D21" s="14">
        <v>0</v>
      </c>
      <c r="E21" s="61">
        <v>0</v>
      </c>
      <c r="F21" s="61">
        <v>3</v>
      </c>
      <c r="G21" s="162"/>
      <c r="H21" s="175">
        <f t="shared" si="0"/>
        <v>3</v>
      </c>
    </row>
    <row r="22" spans="1:8" s="147" customFormat="1" ht="15.75">
      <c r="A22" s="155"/>
      <c r="B22" s="151" t="s">
        <v>457</v>
      </c>
      <c r="D22" s="148">
        <v>32</v>
      </c>
      <c r="E22" s="148"/>
      <c r="F22" s="148"/>
      <c r="G22" s="150"/>
      <c r="H22" s="148">
        <f>SUM(D22:G22)</f>
        <v>32</v>
      </c>
    </row>
    <row r="23" spans="4:7" ht="15.75" thickBot="1">
      <c r="D23" s="18"/>
      <c r="E23" s="15"/>
      <c r="F23" s="15"/>
      <c r="G23" s="49"/>
    </row>
    <row r="24" spans="1:8" s="53" customFormat="1" ht="16.5" thickBot="1">
      <c r="A24" s="52"/>
      <c r="B24" s="172" t="s">
        <v>351</v>
      </c>
      <c r="D24" s="19">
        <f>SUM(D2:D22)</f>
        <v>796</v>
      </c>
      <c r="E24" s="19">
        <f>SUM(E2:E22)</f>
        <v>541</v>
      </c>
      <c r="F24" s="19">
        <f>SUM(F2:F22)</f>
        <v>330</v>
      </c>
      <c r="G24" s="50">
        <f>SUM(G2:G22)</f>
        <v>0</v>
      </c>
      <c r="H24" s="171">
        <f>SUM(H2:H22)</f>
        <v>1667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2008 - 2009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F28" sqref="F2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319</v>
      </c>
      <c r="B1" s="5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221</v>
      </c>
      <c r="C2" s="94" t="s">
        <v>85</v>
      </c>
      <c r="D2" s="16">
        <v>2</v>
      </c>
      <c r="E2" s="68">
        <v>0</v>
      </c>
      <c r="F2" s="58">
        <v>0</v>
      </c>
      <c r="G2" s="160"/>
      <c r="H2" s="142">
        <f>SUM(D2:G2)</f>
        <v>2</v>
      </c>
    </row>
    <row r="3" spans="1:8" ht="19.5" customHeight="1">
      <c r="A3" s="100">
        <v>2</v>
      </c>
      <c r="B3" s="95" t="s">
        <v>222</v>
      </c>
      <c r="C3" s="96" t="s">
        <v>24</v>
      </c>
      <c r="D3" s="12">
        <v>3</v>
      </c>
      <c r="E3" s="60">
        <v>0</v>
      </c>
      <c r="F3" s="47">
        <v>0</v>
      </c>
      <c r="G3" s="161"/>
      <c r="H3" s="143">
        <f aca="true" t="shared" si="0" ref="H3:H27">SUM(D3:G3)</f>
        <v>3</v>
      </c>
    </row>
    <row r="4" spans="1:8" ht="19.5" customHeight="1">
      <c r="A4" s="100">
        <v>3</v>
      </c>
      <c r="B4" s="95" t="s">
        <v>223</v>
      </c>
      <c r="C4" s="96" t="s">
        <v>224</v>
      </c>
      <c r="D4" s="12">
        <v>22</v>
      </c>
      <c r="E4" s="60">
        <v>17</v>
      </c>
      <c r="F4" s="47">
        <v>2</v>
      </c>
      <c r="G4" s="161"/>
      <c r="H4" s="143">
        <f t="shared" si="0"/>
        <v>41</v>
      </c>
    </row>
    <row r="5" spans="1:8" ht="19.5" customHeight="1">
      <c r="A5" s="100">
        <v>4</v>
      </c>
      <c r="B5" s="95" t="s">
        <v>225</v>
      </c>
      <c r="C5" s="96" t="s">
        <v>31</v>
      </c>
      <c r="D5" s="12">
        <v>14</v>
      </c>
      <c r="E5" s="60">
        <v>21</v>
      </c>
      <c r="F5" s="47">
        <v>14</v>
      </c>
      <c r="G5" s="161"/>
      <c r="H5" s="143">
        <f t="shared" si="0"/>
        <v>49</v>
      </c>
    </row>
    <row r="6" spans="1:8" ht="19.5" customHeight="1">
      <c r="A6" s="100">
        <v>5</v>
      </c>
      <c r="B6" s="95" t="s">
        <v>226</v>
      </c>
      <c r="C6" s="96" t="s">
        <v>61</v>
      </c>
      <c r="D6" s="12">
        <f>4+184</f>
        <v>188</v>
      </c>
      <c r="E6" s="60">
        <v>0</v>
      </c>
      <c r="F6" s="47">
        <v>135</v>
      </c>
      <c r="G6" s="161"/>
      <c r="H6" s="143">
        <f t="shared" si="0"/>
        <v>323</v>
      </c>
    </row>
    <row r="7" spans="1:8" ht="19.5" customHeight="1">
      <c r="A7" s="100">
        <v>6</v>
      </c>
      <c r="B7" s="95" t="s">
        <v>205</v>
      </c>
      <c r="C7" s="96" t="s">
        <v>50</v>
      </c>
      <c r="D7" s="12">
        <v>23</v>
      </c>
      <c r="E7" s="60">
        <v>23</v>
      </c>
      <c r="F7" s="47">
        <v>0</v>
      </c>
      <c r="G7" s="161"/>
      <c r="H7" s="143">
        <f t="shared" si="0"/>
        <v>46</v>
      </c>
    </row>
    <row r="8" spans="1:8" ht="19.5" customHeight="1">
      <c r="A8" s="100">
        <v>7</v>
      </c>
      <c r="B8" s="95" t="s">
        <v>227</v>
      </c>
      <c r="C8" s="96" t="s">
        <v>76</v>
      </c>
      <c r="D8" s="12">
        <v>12</v>
      </c>
      <c r="E8" s="60">
        <v>15</v>
      </c>
      <c r="F8" s="47">
        <v>10</v>
      </c>
      <c r="G8" s="161"/>
      <c r="H8" s="143">
        <f t="shared" si="0"/>
        <v>37</v>
      </c>
    </row>
    <row r="9" spans="1:8" ht="19.5" customHeight="1">
      <c r="A9" s="100">
        <v>8</v>
      </c>
      <c r="B9" s="95" t="s">
        <v>228</v>
      </c>
      <c r="C9" s="96" t="s">
        <v>31</v>
      </c>
      <c r="D9" s="12">
        <f>72+108+37</f>
        <v>217</v>
      </c>
      <c r="E9" s="60">
        <v>163</v>
      </c>
      <c r="F9" s="47">
        <v>120</v>
      </c>
      <c r="G9" s="161"/>
      <c r="H9" s="143">
        <f t="shared" si="0"/>
        <v>500</v>
      </c>
    </row>
    <row r="10" spans="1:8" ht="19.5" customHeight="1">
      <c r="A10" s="100">
        <v>9</v>
      </c>
      <c r="B10" s="95" t="s">
        <v>229</v>
      </c>
      <c r="C10" s="96" t="s">
        <v>137</v>
      </c>
      <c r="D10" s="12">
        <v>26</v>
      </c>
      <c r="E10" s="60">
        <v>50</v>
      </c>
      <c r="F10" s="47">
        <v>16</v>
      </c>
      <c r="G10" s="161"/>
      <c r="H10" s="143">
        <f t="shared" si="0"/>
        <v>92</v>
      </c>
    </row>
    <row r="11" spans="1:8" ht="19.5" customHeight="1">
      <c r="A11" s="100">
        <v>10</v>
      </c>
      <c r="B11" s="95" t="s">
        <v>230</v>
      </c>
      <c r="C11" s="96" t="s">
        <v>17</v>
      </c>
      <c r="D11" s="12">
        <v>8</v>
      </c>
      <c r="E11" s="60">
        <v>34</v>
      </c>
      <c r="F11" s="47">
        <v>0</v>
      </c>
      <c r="G11" s="161"/>
      <c r="H11" s="143">
        <f t="shared" si="0"/>
        <v>42</v>
      </c>
    </row>
    <row r="12" spans="1:8" ht="19.5" customHeight="1">
      <c r="A12" s="100">
        <v>11</v>
      </c>
      <c r="B12" s="95" t="s">
        <v>231</v>
      </c>
      <c r="C12" s="96" t="s">
        <v>137</v>
      </c>
      <c r="D12" s="12">
        <v>33</v>
      </c>
      <c r="E12" s="60">
        <v>0</v>
      </c>
      <c r="F12" s="47">
        <v>0</v>
      </c>
      <c r="G12" s="161"/>
      <c r="H12" s="143">
        <f t="shared" si="0"/>
        <v>33</v>
      </c>
    </row>
    <row r="13" spans="1:8" ht="19.5" customHeight="1">
      <c r="A13" s="100">
        <v>12</v>
      </c>
      <c r="B13" s="95" t="s">
        <v>232</v>
      </c>
      <c r="C13" s="96" t="s">
        <v>118</v>
      </c>
      <c r="D13" s="12">
        <v>15</v>
      </c>
      <c r="E13" s="60">
        <v>0</v>
      </c>
      <c r="F13" s="47">
        <v>0</v>
      </c>
      <c r="G13" s="161"/>
      <c r="H13" s="143">
        <f t="shared" si="0"/>
        <v>15</v>
      </c>
    </row>
    <row r="14" spans="1:8" ht="19.5" customHeight="1">
      <c r="A14" s="100">
        <v>13</v>
      </c>
      <c r="B14" s="95" t="s">
        <v>233</v>
      </c>
      <c r="C14" s="96" t="s">
        <v>110</v>
      </c>
      <c r="D14" s="12">
        <v>10</v>
      </c>
      <c r="E14" s="60">
        <v>0</v>
      </c>
      <c r="F14" s="47">
        <v>1</v>
      </c>
      <c r="G14" s="161"/>
      <c r="H14" s="143">
        <f t="shared" si="0"/>
        <v>11</v>
      </c>
    </row>
    <row r="15" spans="1:8" ht="19.5" customHeight="1">
      <c r="A15" s="100">
        <v>14</v>
      </c>
      <c r="B15" s="95" t="s">
        <v>234</v>
      </c>
      <c r="C15" s="96" t="s">
        <v>48</v>
      </c>
      <c r="D15" s="12">
        <v>23</v>
      </c>
      <c r="E15" s="60">
        <v>10.5</v>
      </c>
      <c r="F15" s="47">
        <v>0</v>
      </c>
      <c r="G15" s="161"/>
      <c r="H15" s="143">
        <f t="shared" si="0"/>
        <v>33.5</v>
      </c>
    </row>
    <row r="16" spans="1:8" ht="19.5" customHeight="1">
      <c r="A16" s="100">
        <v>15</v>
      </c>
      <c r="B16" s="95" t="s">
        <v>47</v>
      </c>
      <c r="C16" s="96" t="s">
        <v>235</v>
      </c>
      <c r="D16" s="12">
        <v>7</v>
      </c>
      <c r="E16" s="60">
        <v>8</v>
      </c>
      <c r="F16" s="47">
        <v>8</v>
      </c>
      <c r="G16" s="161"/>
      <c r="H16" s="143">
        <f t="shared" si="0"/>
        <v>23</v>
      </c>
    </row>
    <row r="17" spans="1:8" ht="19.5" customHeight="1">
      <c r="A17" s="100">
        <v>16</v>
      </c>
      <c r="B17" s="95" t="s">
        <v>49</v>
      </c>
      <c r="C17" s="96" t="s">
        <v>15</v>
      </c>
      <c r="D17" s="12">
        <v>10</v>
      </c>
      <c r="E17" s="60">
        <v>45</v>
      </c>
      <c r="F17" s="47">
        <v>30</v>
      </c>
      <c r="G17" s="161"/>
      <c r="H17" s="143">
        <f t="shared" si="0"/>
        <v>85</v>
      </c>
    </row>
    <row r="18" spans="1:8" ht="19.5" customHeight="1">
      <c r="A18" s="100">
        <v>17</v>
      </c>
      <c r="B18" s="95" t="s">
        <v>236</v>
      </c>
      <c r="C18" s="96" t="s">
        <v>110</v>
      </c>
      <c r="D18" s="12">
        <v>33</v>
      </c>
      <c r="E18" s="60">
        <v>25</v>
      </c>
      <c r="F18" s="47">
        <f>45+14</f>
        <v>59</v>
      </c>
      <c r="G18" s="161"/>
      <c r="H18" s="143">
        <f t="shared" si="0"/>
        <v>117</v>
      </c>
    </row>
    <row r="19" spans="1:8" ht="19.5" customHeight="1">
      <c r="A19" s="100">
        <v>18</v>
      </c>
      <c r="B19" s="95" t="s">
        <v>237</v>
      </c>
      <c r="C19" s="96" t="s">
        <v>31</v>
      </c>
      <c r="D19" s="12">
        <v>13</v>
      </c>
      <c r="E19" s="60">
        <v>11</v>
      </c>
      <c r="F19" s="47">
        <v>7</v>
      </c>
      <c r="G19" s="161"/>
      <c r="H19" s="143">
        <f t="shared" si="0"/>
        <v>31</v>
      </c>
    </row>
    <row r="20" spans="1:8" ht="19.5" customHeight="1">
      <c r="A20" s="100">
        <v>19</v>
      </c>
      <c r="B20" s="95" t="s">
        <v>238</v>
      </c>
      <c r="C20" s="96" t="s">
        <v>59</v>
      </c>
      <c r="D20" s="12">
        <v>0</v>
      </c>
      <c r="E20" s="60">
        <v>0</v>
      </c>
      <c r="F20" s="47">
        <v>0</v>
      </c>
      <c r="G20" s="161"/>
      <c r="H20" s="143">
        <f t="shared" si="0"/>
        <v>0</v>
      </c>
    </row>
    <row r="21" spans="1:8" ht="19.5" customHeight="1">
      <c r="A21" s="100">
        <v>20</v>
      </c>
      <c r="B21" s="95" t="s">
        <v>239</v>
      </c>
      <c r="C21" s="96" t="s">
        <v>70</v>
      </c>
      <c r="D21" s="13">
        <v>0</v>
      </c>
      <c r="E21" s="62">
        <v>0</v>
      </c>
      <c r="F21" s="48">
        <v>0</v>
      </c>
      <c r="G21" s="166"/>
      <c r="H21" s="143">
        <f t="shared" si="0"/>
        <v>0</v>
      </c>
    </row>
    <row r="22" spans="1:8" ht="19.5" customHeight="1">
      <c r="A22" s="100">
        <v>21</v>
      </c>
      <c r="B22" s="95" t="s">
        <v>240</v>
      </c>
      <c r="C22" s="96" t="s">
        <v>241</v>
      </c>
      <c r="D22" s="13">
        <v>0</v>
      </c>
      <c r="E22" s="62">
        <v>0</v>
      </c>
      <c r="F22" s="48">
        <v>0</v>
      </c>
      <c r="G22" s="166"/>
      <c r="H22" s="143">
        <f t="shared" si="0"/>
        <v>0</v>
      </c>
    </row>
    <row r="23" spans="1:8" ht="19.5" customHeight="1">
      <c r="A23" s="100">
        <v>22</v>
      </c>
      <c r="B23" s="95" t="s">
        <v>394</v>
      </c>
      <c r="C23" s="96" t="s">
        <v>80</v>
      </c>
      <c r="D23" s="13">
        <v>0</v>
      </c>
      <c r="E23" s="62">
        <v>0</v>
      </c>
      <c r="F23" s="48">
        <v>1</v>
      </c>
      <c r="G23" s="166"/>
      <c r="H23" s="143">
        <f t="shared" si="0"/>
        <v>1</v>
      </c>
    </row>
    <row r="24" spans="1:8" ht="19.5" customHeight="1">
      <c r="A24" s="100">
        <v>23</v>
      </c>
      <c r="B24" s="95" t="s">
        <v>242</v>
      </c>
      <c r="C24" s="96" t="s">
        <v>33</v>
      </c>
      <c r="D24" s="12">
        <v>3</v>
      </c>
      <c r="E24" s="60">
        <v>0</v>
      </c>
      <c r="F24" s="47">
        <v>0</v>
      </c>
      <c r="G24" s="161"/>
      <c r="H24" s="143">
        <f t="shared" si="0"/>
        <v>3</v>
      </c>
    </row>
    <row r="25" spans="1:8" ht="19.5" customHeight="1">
      <c r="A25" s="100">
        <v>24</v>
      </c>
      <c r="B25" s="95" t="s">
        <v>243</v>
      </c>
      <c r="C25" s="96" t="s">
        <v>135</v>
      </c>
      <c r="D25" s="13">
        <f>21+30+11</f>
        <v>62</v>
      </c>
      <c r="E25" s="62">
        <v>0</v>
      </c>
      <c r="F25" s="48">
        <v>60</v>
      </c>
      <c r="G25" s="166"/>
      <c r="H25" s="143">
        <f t="shared" si="0"/>
        <v>122</v>
      </c>
    </row>
    <row r="26" spans="1:8" ht="19.5" customHeight="1">
      <c r="A26" s="100">
        <v>25</v>
      </c>
      <c r="B26" s="95" t="s">
        <v>147</v>
      </c>
      <c r="C26" s="96" t="s">
        <v>244</v>
      </c>
      <c r="D26" s="12">
        <v>0</v>
      </c>
      <c r="E26" s="60">
        <v>0</v>
      </c>
      <c r="F26" s="47">
        <v>5</v>
      </c>
      <c r="G26" s="161"/>
      <c r="H26" s="143">
        <f t="shared" si="0"/>
        <v>5</v>
      </c>
    </row>
    <row r="27" spans="1:8" ht="19.5" customHeight="1" thickBot="1">
      <c r="A27" s="105">
        <v>26</v>
      </c>
      <c r="B27" s="97" t="s">
        <v>245</v>
      </c>
      <c r="C27" s="98" t="s">
        <v>246</v>
      </c>
      <c r="D27" s="14">
        <v>9</v>
      </c>
      <c r="E27" s="61">
        <v>0</v>
      </c>
      <c r="F27" s="51">
        <v>0</v>
      </c>
      <c r="G27" s="162"/>
      <c r="H27" s="144">
        <f t="shared" si="0"/>
        <v>9</v>
      </c>
    </row>
    <row r="28" spans="1:8" s="147" customFormat="1" ht="15.75">
      <c r="A28" s="156"/>
      <c r="B28" s="151" t="s">
        <v>457</v>
      </c>
      <c r="D28" s="148"/>
      <c r="E28" s="148"/>
      <c r="F28" s="150"/>
      <c r="G28" s="150"/>
      <c r="H28" s="148">
        <f>SUM(D28:G28)</f>
        <v>0</v>
      </c>
    </row>
    <row r="29" spans="4:7" ht="15.75" thickBot="1">
      <c r="D29" s="18"/>
      <c r="E29" s="49"/>
      <c r="F29" s="49"/>
      <c r="G29" s="49"/>
    </row>
    <row r="30" spans="1:8" s="53" customFormat="1" ht="16.5" thickBot="1">
      <c r="A30" s="52"/>
      <c r="B30" s="172" t="s">
        <v>351</v>
      </c>
      <c r="D30" s="19">
        <f>SUM(D2:D27)</f>
        <v>733</v>
      </c>
      <c r="E30" s="50">
        <f>SUM(E2:E28)</f>
        <v>422.5</v>
      </c>
      <c r="F30" s="50">
        <f>SUM(F2:F27)</f>
        <v>468</v>
      </c>
      <c r="G30" s="50">
        <f>SUM(G2:G28)</f>
        <v>0</v>
      </c>
      <c r="H30" s="171">
        <f>SUM(H2:H28)</f>
        <v>1623.5</v>
      </c>
    </row>
    <row r="31" ht="12.75">
      <c r="D31" s="2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8" r:id="rId1"/>
  <headerFooter alignWithMargins="0">
    <oddHeader>&amp;C&amp;"Arial,Tučné"&amp;16Sběr 2008 - 2009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F28" sqref="F2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344</v>
      </c>
      <c r="B1" s="5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120">
        <v>1</v>
      </c>
      <c r="B2" s="107" t="s">
        <v>248</v>
      </c>
      <c r="C2" s="108" t="s">
        <v>41</v>
      </c>
      <c r="D2" s="16">
        <v>0</v>
      </c>
      <c r="E2" s="68">
        <v>0</v>
      </c>
      <c r="F2" s="58">
        <v>0</v>
      </c>
      <c r="G2" s="160"/>
      <c r="H2" s="142">
        <f>SUM(D2:G2)</f>
        <v>0</v>
      </c>
    </row>
    <row r="3" spans="1:8" ht="19.5" customHeight="1">
      <c r="A3" s="121">
        <v>2</v>
      </c>
      <c r="B3" s="109" t="s">
        <v>249</v>
      </c>
      <c r="C3" s="110" t="s">
        <v>97</v>
      </c>
      <c r="D3" s="12">
        <v>43</v>
      </c>
      <c r="E3" s="60">
        <v>0</v>
      </c>
      <c r="F3" s="47">
        <v>0</v>
      </c>
      <c r="G3" s="161"/>
      <c r="H3" s="143">
        <f aca="true" t="shared" si="0" ref="H3:H27">SUM(D3:G3)</f>
        <v>43</v>
      </c>
    </row>
    <row r="4" spans="1:8" ht="19.5" customHeight="1">
      <c r="A4" s="121">
        <v>3</v>
      </c>
      <c r="B4" s="109" t="s">
        <v>250</v>
      </c>
      <c r="C4" s="110" t="s">
        <v>251</v>
      </c>
      <c r="D4" s="12">
        <v>12</v>
      </c>
      <c r="E4" s="60">
        <v>17</v>
      </c>
      <c r="F4" s="47">
        <v>0</v>
      </c>
      <c r="G4" s="161"/>
      <c r="H4" s="143">
        <f t="shared" si="0"/>
        <v>29</v>
      </c>
    </row>
    <row r="5" spans="1:8" ht="19.5" customHeight="1">
      <c r="A5" s="121">
        <v>4</v>
      </c>
      <c r="B5" s="109" t="s">
        <v>252</v>
      </c>
      <c r="C5" s="110" t="s">
        <v>253</v>
      </c>
      <c r="D5" s="12">
        <v>69</v>
      </c>
      <c r="E5" s="60">
        <v>135</v>
      </c>
      <c r="F5" s="47">
        <v>75</v>
      </c>
      <c r="G5" s="161"/>
      <c r="H5" s="143">
        <f t="shared" si="0"/>
        <v>279</v>
      </c>
    </row>
    <row r="6" spans="1:8" ht="19.5" customHeight="1">
      <c r="A6" s="121">
        <v>5</v>
      </c>
      <c r="B6" s="109" t="s">
        <v>254</v>
      </c>
      <c r="C6" s="110" t="s">
        <v>97</v>
      </c>
      <c r="D6" s="12">
        <v>95</v>
      </c>
      <c r="E6" s="60">
        <f>84+84+61</f>
        <v>229</v>
      </c>
      <c r="F6" s="47">
        <v>153</v>
      </c>
      <c r="G6" s="161"/>
      <c r="H6" s="143">
        <f t="shared" si="0"/>
        <v>477</v>
      </c>
    </row>
    <row r="7" spans="1:8" ht="19.5" customHeight="1">
      <c r="A7" s="121">
        <v>6</v>
      </c>
      <c r="B7" s="109" t="s">
        <v>130</v>
      </c>
      <c r="C7" s="110" t="s">
        <v>50</v>
      </c>
      <c r="D7" s="12">
        <v>0</v>
      </c>
      <c r="E7" s="60">
        <v>0</v>
      </c>
      <c r="F7" s="47">
        <v>10</v>
      </c>
      <c r="G7" s="161"/>
      <c r="H7" s="143">
        <f t="shared" si="0"/>
        <v>10</v>
      </c>
    </row>
    <row r="8" spans="1:8" ht="19.5" customHeight="1">
      <c r="A8" s="121">
        <v>7</v>
      </c>
      <c r="B8" s="109" t="s">
        <v>255</v>
      </c>
      <c r="C8" s="110" t="s">
        <v>50</v>
      </c>
      <c r="D8" s="12">
        <v>72</v>
      </c>
      <c r="E8" s="60">
        <v>59</v>
      </c>
      <c r="F8" s="47">
        <v>100</v>
      </c>
      <c r="G8" s="161"/>
      <c r="H8" s="143">
        <f t="shared" si="0"/>
        <v>231</v>
      </c>
    </row>
    <row r="9" spans="1:8" ht="19.5" customHeight="1">
      <c r="A9" s="121">
        <v>8</v>
      </c>
      <c r="B9" s="109" t="s">
        <v>256</v>
      </c>
      <c r="C9" s="110" t="s">
        <v>257</v>
      </c>
      <c r="D9" s="12">
        <v>18</v>
      </c>
      <c r="E9" s="60">
        <v>14</v>
      </c>
      <c r="F9" s="47">
        <v>30</v>
      </c>
      <c r="G9" s="161"/>
      <c r="H9" s="143">
        <f t="shared" si="0"/>
        <v>62</v>
      </c>
    </row>
    <row r="10" spans="1:8" ht="19.5" customHeight="1">
      <c r="A10" s="121">
        <v>9</v>
      </c>
      <c r="B10" s="109" t="s">
        <v>258</v>
      </c>
      <c r="C10" s="110" t="s">
        <v>259</v>
      </c>
      <c r="D10" s="12">
        <f>98+51</f>
        <v>149</v>
      </c>
      <c r="E10" s="60">
        <v>38</v>
      </c>
      <c r="F10" s="47">
        <f>49+29</f>
        <v>78</v>
      </c>
      <c r="G10" s="161"/>
      <c r="H10" s="143">
        <f t="shared" si="0"/>
        <v>265</v>
      </c>
    </row>
    <row r="11" spans="1:8" ht="19.5" customHeight="1">
      <c r="A11" s="121">
        <v>10</v>
      </c>
      <c r="B11" s="109" t="s">
        <v>260</v>
      </c>
      <c r="C11" s="110" t="s">
        <v>19</v>
      </c>
      <c r="D11" s="12">
        <v>0</v>
      </c>
      <c r="E11" s="60">
        <v>5</v>
      </c>
      <c r="F11" s="47">
        <v>7</v>
      </c>
      <c r="G11" s="161"/>
      <c r="H11" s="143">
        <f t="shared" si="0"/>
        <v>12</v>
      </c>
    </row>
    <row r="12" spans="1:8" ht="19.5" customHeight="1">
      <c r="A12" s="121">
        <v>11</v>
      </c>
      <c r="B12" s="109" t="s">
        <v>261</v>
      </c>
      <c r="C12" s="110" t="s">
        <v>262</v>
      </c>
      <c r="D12" s="12">
        <v>3</v>
      </c>
      <c r="E12" s="60">
        <v>7</v>
      </c>
      <c r="F12" s="47">
        <v>25</v>
      </c>
      <c r="G12" s="161"/>
      <c r="H12" s="143">
        <f t="shared" si="0"/>
        <v>35</v>
      </c>
    </row>
    <row r="13" spans="1:8" ht="19.5" customHeight="1">
      <c r="A13" s="121">
        <v>12</v>
      </c>
      <c r="B13" s="109" t="s">
        <v>263</v>
      </c>
      <c r="C13" s="110" t="s">
        <v>264</v>
      </c>
      <c r="D13" s="12">
        <v>0</v>
      </c>
      <c r="E13" s="60">
        <v>1</v>
      </c>
      <c r="F13" s="47">
        <v>0</v>
      </c>
      <c r="G13" s="161"/>
      <c r="H13" s="143">
        <f t="shared" si="0"/>
        <v>1</v>
      </c>
    </row>
    <row r="14" spans="1:8" ht="19.5" customHeight="1">
      <c r="A14" s="121">
        <v>13</v>
      </c>
      <c r="B14" s="109" t="s">
        <v>265</v>
      </c>
      <c r="C14" s="110" t="s">
        <v>9</v>
      </c>
      <c r="D14" s="12">
        <v>0</v>
      </c>
      <c r="E14" s="60">
        <v>0</v>
      </c>
      <c r="F14" s="47">
        <v>82</v>
      </c>
      <c r="G14" s="161"/>
      <c r="H14" s="143">
        <f t="shared" si="0"/>
        <v>82</v>
      </c>
    </row>
    <row r="15" spans="1:8" ht="19.5" customHeight="1">
      <c r="A15" s="121">
        <v>14</v>
      </c>
      <c r="B15" s="109" t="s">
        <v>266</v>
      </c>
      <c r="C15" s="110" t="s">
        <v>44</v>
      </c>
      <c r="D15" s="12">
        <v>10</v>
      </c>
      <c r="E15" s="60">
        <v>10</v>
      </c>
      <c r="F15" s="47">
        <v>7</v>
      </c>
      <c r="G15" s="161"/>
      <c r="H15" s="143">
        <f t="shared" si="0"/>
        <v>27</v>
      </c>
    </row>
    <row r="16" spans="1:8" ht="19.5" customHeight="1">
      <c r="A16" s="177">
        <v>15</v>
      </c>
      <c r="B16" s="109" t="s">
        <v>115</v>
      </c>
      <c r="C16" s="110" t="s">
        <v>267</v>
      </c>
      <c r="D16" s="12">
        <v>4</v>
      </c>
      <c r="E16" s="60">
        <v>0</v>
      </c>
      <c r="F16" s="47">
        <v>9</v>
      </c>
      <c r="G16" s="161"/>
      <c r="H16" s="143">
        <f t="shared" si="0"/>
        <v>13</v>
      </c>
    </row>
    <row r="17" spans="1:8" ht="19.5" customHeight="1">
      <c r="A17" s="177">
        <v>16</v>
      </c>
      <c r="B17" s="109" t="s">
        <v>268</v>
      </c>
      <c r="C17" s="110" t="s">
        <v>269</v>
      </c>
      <c r="D17" s="12">
        <v>0</v>
      </c>
      <c r="E17" s="60">
        <v>0</v>
      </c>
      <c r="F17" s="47">
        <v>0</v>
      </c>
      <c r="G17" s="161"/>
      <c r="H17" s="143">
        <f t="shared" si="0"/>
        <v>0</v>
      </c>
    </row>
    <row r="18" spans="1:8" ht="19.5" customHeight="1">
      <c r="A18" s="177">
        <v>17</v>
      </c>
      <c r="B18" s="109" t="s">
        <v>270</v>
      </c>
      <c r="C18" s="110" t="s">
        <v>17</v>
      </c>
      <c r="D18" s="12">
        <v>42</v>
      </c>
      <c r="E18" s="60">
        <v>27</v>
      </c>
      <c r="F18" s="47">
        <v>13</v>
      </c>
      <c r="G18" s="161"/>
      <c r="H18" s="143">
        <f t="shared" si="0"/>
        <v>82</v>
      </c>
    </row>
    <row r="19" spans="1:8" ht="19.5" customHeight="1">
      <c r="A19" s="177">
        <v>18</v>
      </c>
      <c r="B19" s="109" t="s">
        <v>271</v>
      </c>
      <c r="C19" s="110" t="s">
        <v>269</v>
      </c>
      <c r="D19" s="188">
        <v>20</v>
      </c>
      <c r="E19" s="60">
        <v>18</v>
      </c>
      <c r="F19" s="47">
        <v>16</v>
      </c>
      <c r="G19" s="161"/>
      <c r="H19" s="143">
        <f t="shared" si="0"/>
        <v>54</v>
      </c>
    </row>
    <row r="20" spans="1:8" ht="19.5" customHeight="1">
      <c r="A20" s="177">
        <v>19</v>
      </c>
      <c r="B20" s="109" t="s">
        <v>313</v>
      </c>
      <c r="C20" s="110" t="s">
        <v>31</v>
      </c>
      <c r="D20" s="13">
        <v>0</v>
      </c>
      <c r="E20" s="62">
        <v>0</v>
      </c>
      <c r="F20" s="48">
        <v>0</v>
      </c>
      <c r="G20" s="166"/>
      <c r="H20" s="143">
        <f t="shared" si="0"/>
        <v>0</v>
      </c>
    </row>
    <row r="21" spans="1:8" ht="19.5" customHeight="1">
      <c r="A21" s="177">
        <v>20</v>
      </c>
      <c r="B21" s="122" t="s">
        <v>173</v>
      </c>
      <c r="C21" s="110" t="s">
        <v>64</v>
      </c>
      <c r="D21" s="13">
        <v>0</v>
      </c>
      <c r="E21" s="62">
        <v>0</v>
      </c>
      <c r="F21" s="48">
        <v>5</v>
      </c>
      <c r="G21" s="166"/>
      <c r="H21" s="143">
        <f t="shared" si="0"/>
        <v>5</v>
      </c>
    </row>
    <row r="22" spans="1:8" ht="19.5" customHeight="1">
      <c r="A22" s="177">
        <v>21</v>
      </c>
      <c r="B22" s="109" t="s">
        <v>273</v>
      </c>
      <c r="C22" s="110" t="s">
        <v>57</v>
      </c>
      <c r="D22" s="12">
        <v>43</v>
      </c>
      <c r="E22" s="60">
        <v>0</v>
      </c>
      <c r="F22" s="47">
        <v>0</v>
      </c>
      <c r="G22" s="161"/>
      <c r="H22" s="143">
        <f t="shared" si="0"/>
        <v>43</v>
      </c>
    </row>
    <row r="23" spans="1:8" ht="19.5" customHeight="1">
      <c r="A23" s="177">
        <v>22</v>
      </c>
      <c r="B23" s="109" t="s">
        <v>122</v>
      </c>
      <c r="C23" s="110" t="s">
        <v>274</v>
      </c>
      <c r="D23" s="13">
        <v>45</v>
      </c>
      <c r="E23" s="62">
        <v>8</v>
      </c>
      <c r="F23" s="48">
        <v>8</v>
      </c>
      <c r="G23" s="166"/>
      <c r="H23" s="143">
        <f t="shared" si="0"/>
        <v>61</v>
      </c>
    </row>
    <row r="24" spans="1:8" ht="19.5" customHeight="1">
      <c r="A24" s="177">
        <v>23</v>
      </c>
      <c r="B24" s="109" t="s">
        <v>395</v>
      </c>
      <c r="C24" s="110" t="s">
        <v>66</v>
      </c>
      <c r="D24" s="12">
        <v>22</v>
      </c>
      <c r="E24" s="60">
        <v>9</v>
      </c>
      <c r="F24" s="47">
        <v>38</v>
      </c>
      <c r="G24" s="161"/>
      <c r="H24" s="143">
        <f t="shared" si="0"/>
        <v>69</v>
      </c>
    </row>
    <row r="25" spans="1:8" ht="19.5" customHeight="1">
      <c r="A25" s="177">
        <v>24</v>
      </c>
      <c r="B25" s="109" t="s">
        <v>275</v>
      </c>
      <c r="C25" s="110" t="s">
        <v>116</v>
      </c>
      <c r="D25" s="13">
        <v>0</v>
      </c>
      <c r="E25" s="62">
        <v>0</v>
      </c>
      <c r="F25" s="48">
        <v>5</v>
      </c>
      <c r="G25" s="166"/>
      <c r="H25" s="143">
        <f t="shared" si="0"/>
        <v>5</v>
      </c>
    </row>
    <row r="26" spans="1:8" ht="19.5" customHeight="1">
      <c r="A26" s="177"/>
      <c r="B26" s="109" t="s">
        <v>276</v>
      </c>
      <c r="C26" s="110" t="s">
        <v>53</v>
      </c>
      <c r="D26" s="13">
        <v>45</v>
      </c>
      <c r="E26" s="62">
        <v>6</v>
      </c>
      <c r="F26" s="48" t="s">
        <v>482</v>
      </c>
      <c r="G26" s="166"/>
      <c r="H26" s="143">
        <f t="shared" si="0"/>
        <v>51</v>
      </c>
    </row>
    <row r="27" spans="1:8" ht="19.5" customHeight="1" thickBot="1">
      <c r="A27" s="178">
        <v>25</v>
      </c>
      <c r="B27" s="111" t="s">
        <v>277</v>
      </c>
      <c r="C27" s="112" t="s">
        <v>97</v>
      </c>
      <c r="D27" s="14">
        <v>0</v>
      </c>
      <c r="E27" s="61">
        <v>0</v>
      </c>
      <c r="F27" s="51">
        <v>10</v>
      </c>
      <c r="G27" s="162"/>
      <c r="H27" s="144">
        <f t="shared" si="0"/>
        <v>10</v>
      </c>
    </row>
    <row r="28" spans="1:8" s="147" customFormat="1" ht="15.75">
      <c r="A28" s="155"/>
      <c r="B28" s="151" t="s">
        <v>457</v>
      </c>
      <c r="D28" s="148">
        <f>22+15</f>
        <v>37</v>
      </c>
      <c r="E28" s="148">
        <v>33</v>
      </c>
      <c r="F28" s="149"/>
      <c r="G28" s="149"/>
      <c r="H28" s="148">
        <f>SUM(D28:G28)</f>
        <v>70</v>
      </c>
    </row>
    <row r="29" spans="4:7" ht="15.75" thickBot="1">
      <c r="D29" s="17"/>
      <c r="E29" s="15"/>
      <c r="F29" s="49"/>
      <c r="G29" s="49"/>
    </row>
    <row r="30" spans="1:8" s="53" customFormat="1" ht="16.5" thickBot="1">
      <c r="A30" s="52"/>
      <c r="B30" s="172" t="s">
        <v>351</v>
      </c>
      <c r="D30" s="19">
        <f>SUM(D2:D28)</f>
        <v>729</v>
      </c>
      <c r="E30" s="19">
        <f>SUM(E2:E28)</f>
        <v>616</v>
      </c>
      <c r="F30" s="50">
        <f>SUM(F2:F28)</f>
        <v>671</v>
      </c>
      <c r="G30" s="50">
        <f>SUM(G2:G29)</f>
        <v>0</v>
      </c>
      <c r="H30" s="171">
        <f>SUM(H2:H28)</f>
        <v>2016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78" r:id="rId1"/>
  <headerFooter alignWithMargins="0">
    <oddHeader>&amp;C&amp;"Arial,Tučné"&amp;16Sběr 2008 - 2009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J18" sqref="J1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345</v>
      </c>
      <c r="B1" s="5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7">
        <v>1</v>
      </c>
      <c r="B2" s="114" t="s">
        <v>279</v>
      </c>
      <c r="C2" s="115" t="s">
        <v>160</v>
      </c>
      <c r="D2" s="16">
        <v>57</v>
      </c>
      <c r="E2" s="68">
        <v>0</v>
      </c>
      <c r="F2" s="58">
        <v>0</v>
      </c>
      <c r="G2" s="160"/>
      <c r="H2" s="142">
        <f>SUM(D2:G2)</f>
        <v>57</v>
      </c>
    </row>
    <row r="3" spans="1:8" ht="19.5" customHeight="1">
      <c r="A3" s="8">
        <v>2</v>
      </c>
      <c r="B3" s="116" t="s">
        <v>280</v>
      </c>
      <c r="C3" s="117" t="s">
        <v>31</v>
      </c>
      <c r="D3" s="12">
        <v>4</v>
      </c>
      <c r="E3" s="60">
        <v>16</v>
      </c>
      <c r="F3" s="47">
        <v>27</v>
      </c>
      <c r="G3" s="161"/>
      <c r="H3" s="143">
        <f aca="true" t="shared" si="0" ref="H3:H23">SUM(D3:G3)</f>
        <v>47</v>
      </c>
    </row>
    <row r="4" spans="1:8" ht="19.5" customHeight="1">
      <c r="A4" s="8">
        <v>3</v>
      </c>
      <c r="B4" s="116" t="s">
        <v>281</v>
      </c>
      <c r="C4" s="117" t="s">
        <v>64</v>
      </c>
      <c r="D4" s="12">
        <v>2</v>
      </c>
      <c r="E4" s="60">
        <v>2</v>
      </c>
      <c r="F4" s="47">
        <v>0</v>
      </c>
      <c r="G4" s="161"/>
      <c r="H4" s="143">
        <f t="shared" si="0"/>
        <v>4</v>
      </c>
    </row>
    <row r="5" spans="1:8" ht="19.5" customHeight="1">
      <c r="A5" s="8">
        <v>4</v>
      </c>
      <c r="B5" s="116" t="s">
        <v>282</v>
      </c>
      <c r="C5" s="117" t="s">
        <v>257</v>
      </c>
      <c r="D5" s="12">
        <v>140</v>
      </c>
      <c r="E5" s="60">
        <v>56</v>
      </c>
      <c r="F5" s="47">
        <v>24</v>
      </c>
      <c r="G5" s="161"/>
      <c r="H5" s="143">
        <f t="shared" si="0"/>
        <v>220</v>
      </c>
    </row>
    <row r="6" spans="1:8" ht="19.5" customHeight="1">
      <c r="A6" s="8">
        <v>5</v>
      </c>
      <c r="B6" s="116" t="s">
        <v>282</v>
      </c>
      <c r="C6" s="117" t="s">
        <v>15</v>
      </c>
      <c r="D6" s="12">
        <v>23</v>
      </c>
      <c r="E6" s="60">
        <f>21+14</f>
        <v>35</v>
      </c>
      <c r="F6" s="47">
        <v>10</v>
      </c>
      <c r="G6" s="161"/>
      <c r="H6" s="143">
        <f t="shared" si="0"/>
        <v>68</v>
      </c>
    </row>
    <row r="7" spans="1:8" ht="19.5" customHeight="1">
      <c r="A7" s="8">
        <v>6</v>
      </c>
      <c r="B7" s="116" t="s">
        <v>283</v>
      </c>
      <c r="C7" s="117" t="s">
        <v>284</v>
      </c>
      <c r="D7" s="12">
        <v>47</v>
      </c>
      <c r="E7" s="60">
        <f>29+22</f>
        <v>51</v>
      </c>
      <c r="F7" s="47">
        <v>0</v>
      </c>
      <c r="G7" s="161"/>
      <c r="H7" s="143">
        <f t="shared" si="0"/>
        <v>98</v>
      </c>
    </row>
    <row r="8" spans="1:8" ht="19.5" customHeight="1">
      <c r="A8" s="8">
        <v>7</v>
      </c>
      <c r="B8" s="116" t="s">
        <v>286</v>
      </c>
      <c r="C8" s="117" t="s">
        <v>284</v>
      </c>
      <c r="D8" s="12">
        <v>0</v>
      </c>
      <c r="E8" s="60">
        <v>0</v>
      </c>
      <c r="F8" s="47">
        <v>0</v>
      </c>
      <c r="G8" s="161"/>
      <c r="H8" s="143">
        <f t="shared" si="0"/>
        <v>0</v>
      </c>
    </row>
    <row r="9" spans="1:8" ht="19.5" customHeight="1">
      <c r="A9" s="8">
        <v>8</v>
      </c>
      <c r="B9" s="116" t="s">
        <v>287</v>
      </c>
      <c r="C9" s="117" t="s">
        <v>70</v>
      </c>
      <c r="D9" s="12">
        <v>0</v>
      </c>
      <c r="E9" s="60">
        <v>0</v>
      </c>
      <c r="F9" s="47">
        <v>0</v>
      </c>
      <c r="G9" s="161"/>
      <c r="H9" s="143">
        <f t="shared" si="0"/>
        <v>0</v>
      </c>
    </row>
    <row r="10" spans="1:8" ht="19.5" customHeight="1">
      <c r="A10" s="8">
        <v>9</v>
      </c>
      <c r="B10" s="116" t="s">
        <v>288</v>
      </c>
      <c r="C10" s="117" t="s">
        <v>24</v>
      </c>
      <c r="D10" s="12">
        <f>66+41</f>
        <v>107</v>
      </c>
      <c r="E10" s="60">
        <v>19</v>
      </c>
      <c r="F10" s="47">
        <v>58</v>
      </c>
      <c r="G10" s="161"/>
      <c r="H10" s="143">
        <f t="shared" si="0"/>
        <v>184</v>
      </c>
    </row>
    <row r="11" spans="1:8" ht="19.5" customHeight="1">
      <c r="A11" s="8">
        <v>10</v>
      </c>
      <c r="B11" s="116" t="s">
        <v>289</v>
      </c>
      <c r="C11" s="117" t="s">
        <v>118</v>
      </c>
      <c r="D11" s="12">
        <v>0</v>
      </c>
      <c r="E11" s="60">
        <v>0</v>
      </c>
      <c r="F11" s="47">
        <v>0</v>
      </c>
      <c r="G11" s="161"/>
      <c r="H11" s="143">
        <f t="shared" si="0"/>
        <v>0</v>
      </c>
    </row>
    <row r="12" spans="1:8" ht="19.5" customHeight="1">
      <c r="A12" s="8">
        <v>11</v>
      </c>
      <c r="B12" s="116" t="s">
        <v>290</v>
      </c>
      <c r="C12" s="117" t="s">
        <v>97</v>
      </c>
      <c r="D12" s="12">
        <f>24+34</f>
        <v>58</v>
      </c>
      <c r="E12" s="60">
        <v>14</v>
      </c>
      <c r="F12" s="47">
        <v>12</v>
      </c>
      <c r="G12" s="161"/>
      <c r="H12" s="143">
        <f t="shared" si="0"/>
        <v>84</v>
      </c>
    </row>
    <row r="13" spans="1:8" ht="19.5" customHeight="1">
      <c r="A13" s="8">
        <v>12</v>
      </c>
      <c r="B13" s="116" t="s">
        <v>291</v>
      </c>
      <c r="C13" s="117" t="s">
        <v>121</v>
      </c>
      <c r="D13" s="12">
        <v>0</v>
      </c>
      <c r="E13" s="60">
        <v>12</v>
      </c>
      <c r="F13" s="47">
        <v>0</v>
      </c>
      <c r="G13" s="161"/>
      <c r="H13" s="143">
        <f t="shared" si="0"/>
        <v>12</v>
      </c>
    </row>
    <row r="14" spans="1:8" ht="19.5" customHeight="1">
      <c r="A14" s="8">
        <v>13</v>
      </c>
      <c r="B14" s="116" t="s">
        <v>237</v>
      </c>
      <c r="C14" s="117" t="s">
        <v>4</v>
      </c>
      <c r="D14" s="12">
        <v>0</v>
      </c>
      <c r="E14" s="60">
        <v>0</v>
      </c>
      <c r="F14" s="47">
        <v>0</v>
      </c>
      <c r="G14" s="161"/>
      <c r="H14" s="143">
        <f t="shared" si="0"/>
        <v>0</v>
      </c>
    </row>
    <row r="15" spans="1:8" ht="19.5" customHeight="1">
      <c r="A15" s="8">
        <v>14</v>
      </c>
      <c r="B15" s="116" t="s">
        <v>56</v>
      </c>
      <c r="C15" s="117" t="s">
        <v>85</v>
      </c>
      <c r="D15" s="12">
        <v>0</v>
      </c>
      <c r="E15" s="60">
        <v>0</v>
      </c>
      <c r="F15" s="215">
        <v>580</v>
      </c>
      <c r="G15" s="161"/>
      <c r="H15" s="143">
        <f t="shared" si="0"/>
        <v>580</v>
      </c>
    </row>
    <row r="16" spans="1:8" ht="19.5" customHeight="1">
      <c r="A16" s="8">
        <v>15</v>
      </c>
      <c r="B16" s="116" t="s">
        <v>140</v>
      </c>
      <c r="C16" s="117" t="s">
        <v>137</v>
      </c>
      <c r="D16" s="12">
        <v>140</v>
      </c>
      <c r="E16" s="60">
        <v>109</v>
      </c>
      <c r="F16" s="47">
        <v>130</v>
      </c>
      <c r="G16" s="161"/>
      <c r="H16" s="143">
        <f t="shared" si="0"/>
        <v>379</v>
      </c>
    </row>
    <row r="17" spans="1:8" ht="19.5" customHeight="1">
      <c r="A17" s="8">
        <v>16</v>
      </c>
      <c r="B17" s="116" t="s">
        <v>292</v>
      </c>
      <c r="C17" s="117" t="s">
        <v>193</v>
      </c>
      <c r="D17" s="12">
        <v>6</v>
      </c>
      <c r="E17" s="60">
        <v>18</v>
      </c>
      <c r="F17" s="47">
        <v>10</v>
      </c>
      <c r="G17" s="161"/>
      <c r="H17" s="143">
        <f t="shared" si="0"/>
        <v>34</v>
      </c>
    </row>
    <row r="18" spans="1:8" ht="19.5" customHeight="1">
      <c r="A18" s="8">
        <v>17</v>
      </c>
      <c r="B18" s="116" t="s">
        <v>171</v>
      </c>
      <c r="C18" s="117" t="s">
        <v>15</v>
      </c>
      <c r="D18" s="12">
        <v>52</v>
      </c>
      <c r="E18" s="60">
        <f>12+12+9.5</f>
        <v>33.5</v>
      </c>
      <c r="F18" s="47">
        <f>89+4</f>
        <v>93</v>
      </c>
      <c r="G18" s="161"/>
      <c r="H18" s="143">
        <f t="shared" si="0"/>
        <v>178.5</v>
      </c>
    </row>
    <row r="19" spans="1:8" ht="19.5" customHeight="1">
      <c r="A19" s="8">
        <v>18</v>
      </c>
      <c r="B19" s="116" t="s">
        <v>293</v>
      </c>
      <c r="C19" s="117" t="s">
        <v>41</v>
      </c>
      <c r="D19" s="12">
        <v>14</v>
      </c>
      <c r="E19" s="60">
        <v>15</v>
      </c>
      <c r="F19" s="47">
        <v>13</v>
      </c>
      <c r="G19" s="161"/>
      <c r="H19" s="143">
        <f t="shared" si="0"/>
        <v>42</v>
      </c>
    </row>
    <row r="20" spans="1:8" ht="19.5" customHeight="1">
      <c r="A20" s="8">
        <v>19</v>
      </c>
      <c r="B20" s="116" t="s">
        <v>294</v>
      </c>
      <c r="C20" s="117" t="s">
        <v>95</v>
      </c>
      <c r="D20" s="12">
        <v>0</v>
      </c>
      <c r="E20" s="60">
        <v>0</v>
      </c>
      <c r="F20" s="47">
        <v>5</v>
      </c>
      <c r="G20" s="161"/>
      <c r="H20" s="143">
        <f t="shared" si="0"/>
        <v>5</v>
      </c>
    </row>
    <row r="21" spans="1:8" ht="19.5" customHeight="1">
      <c r="A21" s="8">
        <v>20</v>
      </c>
      <c r="B21" s="116" t="s">
        <v>295</v>
      </c>
      <c r="C21" s="117" t="s">
        <v>57</v>
      </c>
      <c r="D21" s="12">
        <v>4</v>
      </c>
      <c r="E21" s="60">
        <v>0</v>
      </c>
      <c r="F21" s="47">
        <v>0</v>
      </c>
      <c r="G21" s="161"/>
      <c r="H21" s="143">
        <f t="shared" si="0"/>
        <v>4</v>
      </c>
    </row>
    <row r="22" spans="1:8" ht="19.5" customHeight="1">
      <c r="A22" s="8">
        <v>21</v>
      </c>
      <c r="B22" s="116" t="s">
        <v>296</v>
      </c>
      <c r="C22" s="117" t="s">
        <v>41</v>
      </c>
      <c r="D22" s="13">
        <v>41</v>
      </c>
      <c r="E22" s="62">
        <v>0</v>
      </c>
      <c r="F22" s="48">
        <v>10</v>
      </c>
      <c r="G22" s="166"/>
      <c r="H22" s="143">
        <f t="shared" si="0"/>
        <v>51</v>
      </c>
    </row>
    <row r="23" spans="1:8" ht="19.5" customHeight="1" thickBot="1">
      <c r="A23" s="9">
        <v>22</v>
      </c>
      <c r="B23" s="118" t="s">
        <v>297</v>
      </c>
      <c r="C23" s="119" t="s">
        <v>64</v>
      </c>
      <c r="D23" s="14">
        <v>35</v>
      </c>
      <c r="E23" s="61">
        <v>2</v>
      </c>
      <c r="F23" s="51">
        <v>6</v>
      </c>
      <c r="G23" s="162"/>
      <c r="H23" s="144">
        <f t="shared" si="0"/>
        <v>43</v>
      </c>
    </row>
    <row r="24" spans="1:8" s="147" customFormat="1" ht="15.75">
      <c r="A24" s="155"/>
      <c r="B24" s="151" t="s">
        <v>457</v>
      </c>
      <c r="D24" s="148">
        <v>19</v>
      </c>
      <c r="E24" s="148">
        <v>8</v>
      </c>
      <c r="F24" s="149"/>
      <c r="G24" s="149"/>
      <c r="H24" s="159">
        <f>SUM(D24:G24)</f>
        <v>27</v>
      </c>
    </row>
    <row r="25" spans="4:7" ht="15.75" thickBot="1">
      <c r="D25" s="18"/>
      <c r="E25" s="15"/>
      <c r="F25" s="49"/>
      <c r="G25" s="49"/>
    </row>
    <row r="26" spans="1:8" s="53" customFormat="1" ht="16.5" thickBot="1">
      <c r="A26" s="52"/>
      <c r="B26" s="172" t="s">
        <v>351</v>
      </c>
      <c r="D26" s="19">
        <f>SUM(D2:D24)</f>
        <v>749</v>
      </c>
      <c r="E26" s="19">
        <f>SUM(E2:E24)</f>
        <v>390.5</v>
      </c>
      <c r="F26" s="50">
        <f>SUM(F2:F24)</f>
        <v>978</v>
      </c>
      <c r="G26" s="50">
        <f>SUM(G2:G24)</f>
        <v>0</v>
      </c>
      <c r="H26" s="171">
        <f>SUM(H2:H24)</f>
        <v>2117.5</v>
      </c>
    </row>
    <row r="27" ht="12.75">
      <c r="H27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2008 - 2009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H36" sqref="H36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347</v>
      </c>
      <c r="B1" s="5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120">
        <v>1</v>
      </c>
      <c r="B2" s="93" t="s">
        <v>299</v>
      </c>
      <c r="C2" s="94" t="s">
        <v>55</v>
      </c>
      <c r="D2" s="16">
        <v>74</v>
      </c>
      <c r="E2" s="68">
        <v>0</v>
      </c>
      <c r="F2" s="58">
        <v>0</v>
      </c>
      <c r="G2" s="160"/>
      <c r="H2" s="142">
        <f>SUM(D2:G2)</f>
        <v>74</v>
      </c>
    </row>
    <row r="3" spans="1:8" ht="19.5" customHeight="1">
      <c r="A3" s="121">
        <v>2</v>
      </c>
      <c r="B3" s="95" t="s">
        <v>299</v>
      </c>
      <c r="C3" s="96" t="s">
        <v>97</v>
      </c>
      <c r="D3" s="12">
        <v>75</v>
      </c>
      <c r="E3" s="60">
        <v>0</v>
      </c>
      <c r="F3" s="47">
        <v>0</v>
      </c>
      <c r="G3" s="161"/>
      <c r="H3" s="143">
        <f aca="true" t="shared" si="0" ref="H3:H23">SUM(D3:G3)</f>
        <v>75</v>
      </c>
    </row>
    <row r="4" spans="1:8" ht="19.5" customHeight="1">
      <c r="A4" s="121">
        <v>3</v>
      </c>
      <c r="B4" s="95" t="s">
        <v>300</v>
      </c>
      <c r="C4" s="96" t="s">
        <v>41</v>
      </c>
      <c r="D4" s="12">
        <v>0</v>
      </c>
      <c r="E4" s="60">
        <v>8</v>
      </c>
      <c r="F4" s="47">
        <v>2</v>
      </c>
      <c r="G4" s="161"/>
      <c r="H4" s="143">
        <f t="shared" si="0"/>
        <v>10</v>
      </c>
    </row>
    <row r="5" spans="1:8" ht="19.5" customHeight="1">
      <c r="A5" s="121">
        <v>4</v>
      </c>
      <c r="B5" s="95" t="s">
        <v>301</v>
      </c>
      <c r="C5" s="96" t="s">
        <v>110</v>
      </c>
      <c r="D5" s="12">
        <v>11</v>
      </c>
      <c r="E5" s="60">
        <v>0</v>
      </c>
      <c r="F5" s="47">
        <v>2</v>
      </c>
      <c r="G5" s="161"/>
      <c r="H5" s="143">
        <f t="shared" si="0"/>
        <v>13</v>
      </c>
    </row>
    <row r="6" spans="1:8" ht="19.5" customHeight="1">
      <c r="A6" s="121">
        <v>5</v>
      </c>
      <c r="B6" s="95" t="s">
        <v>12</v>
      </c>
      <c r="C6" s="96" t="s">
        <v>259</v>
      </c>
      <c r="D6" s="12">
        <v>0</v>
      </c>
      <c r="E6" s="60">
        <v>25</v>
      </c>
      <c r="F6" s="47">
        <v>270</v>
      </c>
      <c r="G6" s="161"/>
      <c r="H6" s="143">
        <f t="shared" si="0"/>
        <v>295</v>
      </c>
    </row>
    <row r="7" spans="1:8" ht="19.5" customHeight="1">
      <c r="A7" s="121">
        <v>6</v>
      </c>
      <c r="B7" s="95" t="s">
        <v>302</v>
      </c>
      <c r="C7" s="96" t="s">
        <v>303</v>
      </c>
      <c r="D7" s="12">
        <v>30</v>
      </c>
      <c r="E7" s="60">
        <v>0</v>
      </c>
      <c r="F7" s="47">
        <v>36</v>
      </c>
      <c r="G7" s="161"/>
      <c r="H7" s="143">
        <f t="shared" si="0"/>
        <v>66</v>
      </c>
    </row>
    <row r="8" spans="1:8" ht="19.5" customHeight="1">
      <c r="A8" s="121">
        <v>7</v>
      </c>
      <c r="B8" s="95" t="s">
        <v>285</v>
      </c>
      <c r="C8" s="96" t="s">
        <v>90</v>
      </c>
      <c r="D8" s="12">
        <v>28</v>
      </c>
      <c r="E8" s="60">
        <v>1</v>
      </c>
      <c r="F8" s="47">
        <v>8</v>
      </c>
      <c r="G8" s="161"/>
      <c r="H8" s="143">
        <f t="shared" si="0"/>
        <v>37</v>
      </c>
    </row>
    <row r="9" spans="1:8" ht="19.5" customHeight="1">
      <c r="A9" s="121">
        <v>8</v>
      </c>
      <c r="B9" s="95" t="s">
        <v>304</v>
      </c>
      <c r="C9" s="96" t="s">
        <v>31</v>
      </c>
      <c r="D9" s="12">
        <v>10</v>
      </c>
      <c r="E9" s="60">
        <v>2</v>
      </c>
      <c r="F9" s="47">
        <v>0</v>
      </c>
      <c r="G9" s="161"/>
      <c r="H9" s="143">
        <f t="shared" si="0"/>
        <v>12</v>
      </c>
    </row>
    <row r="10" spans="1:8" ht="19.5" customHeight="1">
      <c r="A10" s="121">
        <v>9</v>
      </c>
      <c r="B10" s="95" t="s">
        <v>82</v>
      </c>
      <c r="C10" s="96" t="s">
        <v>31</v>
      </c>
      <c r="D10" s="12">
        <v>0</v>
      </c>
      <c r="E10" s="60">
        <v>4</v>
      </c>
      <c r="F10" s="47">
        <v>2</v>
      </c>
      <c r="G10" s="161"/>
      <c r="H10" s="143">
        <f t="shared" si="0"/>
        <v>6</v>
      </c>
    </row>
    <row r="11" spans="1:8" ht="19.5" customHeight="1">
      <c r="A11" s="121">
        <v>10</v>
      </c>
      <c r="B11" s="95" t="s">
        <v>305</v>
      </c>
      <c r="C11" s="96" t="s">
        <v>160</v>
      </c>
      <c r="D11" s="12">
        <v>29</v>
      </c>
      <c r="E11" s="60">
        <v>3</v>
      </c>
      <c r="F11" s="47">
        <v>0</v>
      </c>
      <c r="G11" s="161"/>
      <c r="H11" s="143">
        <f t="shared" si="0"/>
        <v>32</v>
      </c>
    </row>
    <row r="12" spans="1:8" ht="19.5" customHeight="1">
      <c r="A12" s="121">
        <v>11</v>
      </c>
      <c r="B12" s="95" t="s">
        <v>258</v>
      </c>
      <c r="C12" s="96" t="s">
        <v>97</v>
      </c>
      <c r="D12" s="12">
        <f>123+85</f>
        <v>208</v>
      </c>
      <c r="E12" s="60">
        <v>0</v>
      </c>
      <c r="F12" s="47">
        <v>0</v>
      </c>
      <c r="G12" s="161"/>
      <c r="H12" s="143">
        <f t="shared" si="0"/>
        <v>208</v>
      </c>
    </row>
    <row r="13" spans="1:8" ht="19.5" customHeight="1">
      <c r="A13" s="121">
        <v>12</v>
      </c>
      <c r="B13" s="95" t="s">
        <v>87</v>
      </c>
      <c r="C13" s="96" t="s">
        <v>19</v>
      </c>
      <c r="D13" s="12">
        <f>19+19+15+19+40+11</f>
        <v>123</v>
      </c>
      <c r="E13" s="60">
        <v>6</v>
      </c>
      <c r="F13" s="47">
        <v>9</v>
      </c>
      <c r="G13" s="161"/>
      <c r="H13" s="143">
        <f t="shared" si="0"/>
        <v>138</v>
      </c>
    </row>
    <row r="14" spans="1:8" ht="19.5" customHeight="1">
      <c r="A14" s="121">
        <v>13</v>
      </c>
      <c r="B14" s="95" t="s">
        <v>306</v>
      </c>
      <c r="C14" s="96" t="s">
        <v>262</v>
      </c>
      <c r="D14" s="12">
        <f>149+5</f>
        <v>154</v>
      </c>
      <c r="E14" s="60">
        <f>52+41+40</f>
        <v>133</v>
      </c>
      <c r="F14" s="47">
        <v>72</v>
      </c>
      <c r="G14" s="161"/>
      <c r="H14" s="143">
        <f t="shared" si="0"/>
        <v>359</v>
      </c>
    </row>
    <row r="15" spans="1:8" ht="19.5" customHeight="1">
      <c r="A15" s="121">
        <v>14</v>
      </c>
      <c r="B15" s="95" t="s">
        <v>307</v>
      </c>
      <c r="C15" s="96" t="s">
        <v>308</v>
      </c>
      <c r="D15" s="12">
        <v>27</v>
      </c>
      <c r="E15" s="60">
        <v>0</v>
      </c>
      <c r="F15" s="47">
        <v>0</v>
      </c>
      <c r="G15" s="161"/>
      <c r="H15" s="143">
        <f t="shared" si="0"/>
        <v>27</v>
      </c>
    </row>
    <row r="16" spans="1:8" ht="19.5" customHeight="1">
      <c r="A16" s="121">
        <v>15</v>
      </c>
      <c r="B16" s="95" t="s">
        <v>309</v>
      </c>
      <c r="C16" s="96" t="s">
        <v>121</v>
      </c>
      <c r="D16" s="12">
        <v>49</v>
      </c>
      <c r="E16" s="60">
        <v>0</v>
      </c>
      <c r="F16" s="47">
        <v>0</v>
      </c>
      <c r="G16" s="161"/>
      <c r="H16" s="143">
        <f t="shared" si="0"/>
        <v>49</v>
      </c>
    </row>
    <row r="17" spans="1:8" ht="19.5" customHeight="1">
      <c r="A17" s="121">
        <v>16</v>
      </c>
      <c r="B17" s="95" t="s">
        <v>310</v>
      </c>
      <c r="C17" s="96" t="s">
        <v>31</v>
      </c>
      <c r="D17" s="12">
        <v>3</v>
      </c>
      <c r="E17" s="60">
        <v>1</v>
      </c>
      <c r="F17" s="47">
        <v>0</v>
      </c>
      <c r="G17" s="161"/>
      <c r="H17" s="143">
        <f t="shared" si="0"/>
        <v>4</v>
      </c>
    </row>
    <row r="18" spans="1:8" ht="19.5" customHeight="1">
      <c r="A18" s="121">
        <v>17</v>
      </c>
      <c r="B18" s="95" t="s">
        <v>117</v>
      </c>
      <c r="C18" s="96" t="s">
        <v>110</v>
      </c>
      <c r="D18" s="12">
        <v>38</v>
      </c>
      <c r="E18" s="60">
        <v>68</v>
      </c>
      <c r="F18" s="47">
        <v>37</v>
      </c>
      <c r="G18" s="161"/>
      <c r="H18" s="143">
        <f t="shared" si="0"/>
        <v>143</v>
      </c>
    </row>
    <row r="19" spans="1:8" ht="19.5" customHeight="1">
      <c r="A19" s="121">
        <v>18</v>
      </c>
      <c r="B19" s="95" t="s">
        <v>311</v>
      </c>
      <c r="C19" s="96" t="s">
        <v>312</v>
      </c>
      <c r="D19" s="12">
        <v>0</v>
      </c>
      <c r="E19" s="60">
        <v>3</v>
      </c>
      <c r="F19" s="47">
        <v>0</v>
      </c>
      <c r="G19" s="161"/>
      <c r="H19" s="143">
        <f t="shared" si="0"/>
        <v>3</v>
      </c>
    </row>
    <row r="20" spans="1:8" ht="19.5" customHeight="1">
      <c r="A20" s="121">
        <v>19</v>
      </c>
      <c r="B20" s="95" t="s">
        <v>314</v>
      </c>
      <c r="C20" s="96" t="s">
        <v>4</v>
      </c>
      <c r="D20" s="13">
        <v>0</v>
      </c>
      <c r="E20" s="62">
        <v>0</v>
      </c>
      <c r="F20" s="48">
        <v>0</v>
      </c>
      <c r="G20" s="166"/>
      <c r="H20" s="143">
        <f t="shared" si="0"/>
        <v>0</v>
      </c>
    </row>
    <row r="21" spans="1:8" ht="19.5" customHeight="1">
      <c r="A21" s="121">
        <v>20</v>
      </c>
      <c r="B21" s="95" t="s">
        <v>315</v>
      </c>
      <c r="C21" s="96" t="s">
        <v>257</v>
      </c>
      <c r="D21" s="13">
        <f>8+11+39+18</f>
        <v>76</v>
      </c>
      <c r="E21" s="62">
        <v>56</v>
      </c>
      <c r="F21" s="48">
        <v>2</v>
      </c>
      <c r="G21" s="166"/>
      <c r="H21" s="143">
        <f t="shared" si="0"/>
        <v>134</v>
      </c>
    </row>
    <row r="22" spans="1:8" ht="19.5" customHeight="1">
      <c r="A22" s="121">
        <v>21</v>
      </c>
      <c r="B22" s="95" t="s">
        <v>316</v>
      </c>
      <c r="C22" s="96" t="s">
        <v>70</v>
      </c>
      <c r="D22" s="13">
        <v>42</v>
      </c>
      <c r="E22" s="192">
        <v>20</v>
      </c>
      <c r="F22" s="48">
        <v>24</v>
      </c>
      <c r="G22" s="166"/>
      <c r="H22" s="143">
        <f t="shared" si="0"/>
        <v>86</v>
      </c>
    </row>
    <row r="23" spans="1:8" ht="19.5" customHeight="1" thickBot="1">
      <c r="A23" s="123">
        <v>22</v>
      </c>
      <c r="B23" s="97" t="s">
        <v>317</v>
      </c>
      <c r="C23" s="98" t="s">
        <v>318</v>
      </c>
      <c r="D23" s="14">
        <v>2</v>
      </c>
      <c r="E23" s="193">
        <v>2</v>
      </c>
      <c r="F23" s="51">
        <v>0</v>
      </c>
      <c r="G23" s="162"/>
      <c r="H23" s="144">
        <f t="shared" si="0"/>
        <v>4</v>
      </c>
    </row>
    <row r="24" spans="1:8" s="147" customFormat="1" ht="15.75">
      <c r="A24" s="155"/>
      <c r="B24" s="151" t="s">
        <v>457</v>
      </c>
      <c r="C24" s="153"/>
      <c r="D24" s="148"/>
      <c r="E24" s="152"/>
      <c r="F24" s="150">
        <v>45</v>
      </c>
      <c r="G24" s="150"/>
      <c r="H24" s="148">
        <f>SUM(D24:G24)</f>
        <v>45</v>
      </c>
    </row>
    <row r="25" spans="4:7" ht="15.75" thickBot="1">
      <c r="D25" s="17"/>
      <c r="E25" s="15"/>
      <c r="F25" s="49"/>
      <c r="G25" s="49"/>
    </row>
    <row r="26" spans="1:8" s="53" customFormat="1" ht="16.5" thickBot="1">
      <c r="A26" s="52"/>
      <c r="B26" s="172" t="s">
        <v>351</v>
      </c>
      <c r="D26" s="19">
        <f>SUM(D2:D23)</f>
        <v>979</v>
      </c>
      <c r="E26" s="19">
        <f>SUM(E2:E24)</f>
        <v>332</v>
      </c>
      <c r="F26" s="50">
        <f>SUM(F2:F24)</f>
        <v>509</v>
      </c>
      <c r="G26" s="50">
        <f>SUM(G2:G24)</f>
        <v>0</v>
      </c>
      <c r="H26" s="171">
        <f>SUM(H2:H24)</f>
        <v>1820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2008 - 2009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C34" sqref="C34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6" t="s">
        <v>348</v>
      </c>
      <c r="B1" s="5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120">
        <v>1</v>
      </c>
      <c r="B2" s="107" t="s">
        <v>320</v>
      </c>
      <c r="C2" s="108" t="s">
        <v>321</v>
      </c>
      <c r="D2" s="16">
        <v>32</v>
      </c>
      <c r="E2" s="58">
        <v>0</v>
      </c>
      <c r="F2" s="58">
        <v>0</v>
      </c>
      <c r="G2" s="160"/>
      <c r="H2" s="142">
        <f>SUM(D2:G2)</f>
        <v>32</v>
      </c>
    </row>
    <row r="3" spans="1:8" ht="19.5" customHeight="1">
      <c r="A3" s="121">
        <v>2</v>
      </c>
      <c r="B3" s="109" t="s">
        <v>322</v>
      </c>
      <c r="C3" s="110" t="s">
        <v>95</v>
      </c>
      <c r="D3" s="12">
        <v>21</v>
      </c>
      <c r="E3" s="60">
        <v>55</v>
      </c>
      <c r="F3" s="47">
        <v>0</v>
      </c>
      <c r="G3" s="161"/>
      <c r="H3" s="143">
        <f aca="true" t="shared" si="0" ref="H3:H23">SUM(D3:G3)</f>
        <v>76</v>
      </c>
    </row>
    <row r="4" spans="1:8" ht="19.5" customHeight="1">
      <c r="A4" s="121">
        <v>3</v>
      </c>
      <c r="B4" s="109" t="s">
        <v>323</v>
      </c>
      <c r="C4" s="110" t="s">
        <v>50</v>
      </c>
      <c r="D4" s="12">
        <f>8+6+11+30</f>
        <v>55</v>
      </c>
      <c r="E4" s="60">
        <f>7+36</f>
        <v>43</v>
      </c>
      <c r="F4" s="47">
        <v>74</v>
      </c>
      <c r="G4" s="161"/>
      <c r="H4" s="143">
        <f t="shared" si="0"/>
        <v>172</v>
      </c>
    </row>
    <row r="5" spans="1:8" ht="19.5" customHeight="1">
      <c r="A5" s="121">
        <v>4</v>
      </c>
      <c r="B5" s="109" t="s">
        <v>324</v>
      </c>
      <c r="C5" s="110" t="s">
        <v>95</v>
      </c>
      <c r="D5" s="12">
        <v>85</v>
      </c>
      <c r="E5" s="60">
        <v>0</v>
      </c>
      <c r="F5" s="47">
        <v>149</v>
      </c>
      <c r="G5" s="161"/>
      <c r="H5" s="143">
        <f t="shared" si="0"/>
        <v>234</v>
      </c>
    </row>
    <row r="6" spans="1:8" ht="19.5" customHeight="1">
      <c r="A6" s="121">
        <v>5</v>
      </c>
      <c r="B6" s="109" t="s">
        <v>325</v>
      </c>
      <c r="C6" s="110" t="s">
        <v>50</v>
      </c>
      <c r="D6" s="12">
        <v>9</v>
      </c>
      <c r="E6" s="60">
        <v>10</v>
      </c>
      <c r="F6" s="47">
        <v>10</v>
      </c>
      <c r="G6" s="161"/>
      <c r="H6" s="143">
        <f t="shared" si="0"/>
        <v>29</v>
      </c>
    </row>
    <row r="7" spans="1:8" ht="19.5" customHeight="1">
      <c r="A7" s="121">
        <v>6</v>
      </c>
      <c r="B7" s="109" t="s">
        <v>326</v>
      </c>
      <c r="C7" s="110" t="s">
        <v>308</v>
      </c>
      <c r="D7" s="12">
        <v>53</v>
      </c>
      <c r="E7" s="60">
        <v>69</v>
      </c>
      <c r="F7" s="47">
        <v>0</v>
      </c>
      <c r="G7" s="161"/>
      <c r="H7" s="143">
        <f t="shared" si="0"/>
        <v>122</v>
      </c>
    </row>
    <row r="8" spans="1:8" ht="19.5" customHeight="1">
      <c r="A8" s="121">
        <v>7</v>
      </c>
      <c r="B8" s="109" t="s">
        <v>327</v>
      </c>
      <c r="C8" s="110" t="s">
        <v>59</v>
      </c>
      <c r="D8" s="12">
        <v>0</v>
      </c>
      <c r="E8" s="60">
        <v>5</v>
      </c>
      <c r="F8" s="47">
        <v>5</v>
      </c>
      <c r="G8" s="161"/>
      <c r="H8" s="143">
        <f t="shared" si="0"/>
        <v>10</v>
      </c>
    </row>
    <row r="9" spans="1:8" ht="19.5" customHeight="1">
      <c r="A9" s="121">
        <v>8</v>
      </c>
      <c r="B9" s="109" t="s">
        <v>328</v>
      </c>
      <c r="C9" s="110" t="s">
        <v>33</v>
      </c>
      <c r="D9" s="12">
        <f>80+6+11+8</f>
        <v>105</v>
      </c>
      <c r="E9" s="60">
        <v>19</v>
      </c>
      <c r="F9" s="47">
        <f>12.5+8+6+5</f>
        <v>31.5</v>
      </c>
      <c r="G9" s="161"/>
      <c r="H9" s="143">
        <f t="shared" si="0"/>
        <v>155.5</v>
      </c>
    </row>
    <row r="10" spans="1:8" ht="19.5" customHeight="1">
      <c r="A10" s="121">
        <v>9</v>
      </c>
      <c r="B10" s="109" t="s">
        <v>329</v>
      </c>
      <c r="C10" s="110" t="s">
        <v>44</v>
      </c>
      <c r="D10" s="12">
        <v>30</v>
      </c>
      <c r="E10" s="60">
        <v>13</v>
      </c>
      <c r="F10" s="47">
        <v>14</v>
      </c>
      <c r="G10" s="161"/>
      <c r="H10" s="143">
        <f t="shared" si="0"/>
        <v>57</v>
      </c>
    </row>
    <row r="11" spans="1:8" ht="19.5" customHeight="1">
      <c r="A11" s="121">
        <v>10</v>
      </c>
      <c r="B11" s="109" t="s">
        <v>330</v>
      </c>
      <c r="C11" s="110" t="s">
        <v>31</v>
      </c>
      <c r="D11" s="12">
        <v>101</v>
      </c>
      <c r="E11" s="60">
        <v>6</v>
      </c>
      <c r="F11" s="47">
        <v>14</v>
      </c>
      <c r="G11" s="161"/>
      <c r="H11" s="143">
        <f t="shared" si="0"/>
        <v>121</v>
      </c>
    </row>
    <row r="12" spans="1:8" ht="19.5" customHeight="1">
      <c r="A12" s="121">
        <v>11</v>
      </c>
      <c r="B12" s="109" t="s">
        <v>164</v>
      </c>
      <c r="C12" s="110" t="s">
        <v>76</v>
      </c>
      <c r="D12" s="12">
        <v>30</v>
      </c>
      <c r="E12" s="60">
        <v>11</v>
      </c>
      <c r="F12" s="47">
        <v>6</v>
      </c>
      <c r="G12" s="161"/>
      <c r="H12" s="143">
        <f t="shared" si="0"/>
        <v>47</v>
      </c>
    </row>
    <row r="13" spans="1:8" ht="19.5" customHeight="1">
      <c r="A13" s="121">
        <v>12</v>
      </c>
      <c r="B13" s="109" t="s">
        <v>331</v>
      </c>
      <c r="C13" s="110" t="s">
        <v>332</v>
      </c>
      <c r="D13" s="12">
        <f>65+41</f>
        <v>106</v>
      </c>
      <c r="E13" s="60">
        <v>0</v>
      </c>
      <c r="F13" s="47">
        <v>0</v>
      </c>
      <c r="G13" s="161"/>
      <c r="H13" s="143">
        <f t="shared" si="0"/>
        <v>106</v>
      </c>
    </row>
    <row r="14" spans="1:8" ht="19.5" customHeight="1">
      <c r="A14" s="121">
        <v>13</v>
      </c>
      <c r="B14" s="109" t="s">
        <v>333</v>
      </c>
      <c r="C14" s="110" t="s">
        <v>334</v>
      </c>
      <c r="D14" s="12">
        <v>6</v>
      </c>
      <c r="E14" s="60">
        <v>0</v>
      </c>
      <c r="F14" s="47">
        <v>0</v>
      </c>
      <c r="G14" s="161"/>
      <c r="H14" s="143">
        <f t="shared" si="0"/>
        <v>6</v>
      </c>
    </row>
    <row r="15" spans="1:8" ht="19.5" customHeight="1">
      <c r="A15" s="121">
        <v>14</v>
      </c>
      <c r="B15" s="109" t="s">
        <v>335</v>
      </c>
      <c r="C15" s="110" t="s">
        <v>150</v>
      </c>
      <c r="D15" s="12">
        <f>11+8+19+15</f>
        <v>53</v>
      </c>
      <c r="E15" s="60">
        <v>8</v>
      </c>
      <c r="F15" s="47">
        <f>8+40+7+6</f>
        <v>61</v>
      </c>
      <c r="G15" s="161"/>
      <c r="H15" s="143">
        <f t="shared" si="0"/>
        <v>122</v>
      </c>
    </row>
    <row r="16" spans="1:8" ht="19.5" customHeight="1">
      <c r="A16" s="121">
        <v>15</v>
      </c>
      <c r="B16" s="109" t="s">
        <v>336</v>
      </c>
      <c r="C16" s="110" t="s">
        <v>337</v>
      </c>
      <c r="D16" s="12">
        <v>14</v>
      </c>
      <c r="E16" s="60">
        <v>0</v>
      </c>
      <c r="F16" s="47">
        <v>0</v>
      </c>
      <c r="G16" s="161"/>
      <c r="H16" s="143">
        <f t="shared" si="0"/>
        <v>14</v>
      </c>
    </row>
    <row r="17" spans="1:8" ht="19.5" customHeight="1">
      <c r="A17" s="121">
        <v>16</v>
      </c>
      <c r="B17" s="109" t="s">
        <v>338</v>
      </c>
      <c r="C17" s="110" t="s">
        <v>44</v>
      </c>
      <c r="D17" s="12">
        <f>75+40</f>
        <v>115</v>
      </c>
      <c r="E17" s="60">
        <v>84</v>
      </c>
      <c r="F17" s="47">
        <v>10</v>
      </c>
      <c r="G17" s="161"/>
      <c r="H17" s="143">
        <f t="shared" si="0"/>
        <v>209</v>
      </c>
    </row>
    <row r="18" spans="1:8" ht="19.5" customHeight="1">
      <c r="A18" s="121">
        <v>17</v>
      </c>
      <c r="B18" s="109" t="s">
        <v>339</v>
      </c>
      <c r="C18" s="110" t="s">
        <v>97</v>
      </c>
      <c r="D18" s="12">
        <v>9</v>
      </c>
      <c r="E18" s="60">
        <v>6</v>
      </c>
      <c r="F18" s="47">
        <v>6</v>
      </c>
      <c r="G18" s="161"/>
      <c r="H18" s="143">
        <f t="shared" si="0"/>
        <v>21</v>
      </c>
    </row>
    <row r="19" spans="1:8" ht="19.5" customHeight="1">
      <c r="A19" s="121">
        <v>18</v>
      </c>
      <c r="B19" s="109" t="s">
        <v>340</v>
      </c>
      <c r="C19" s="110" t="s">
        <v>17</v>
      </c>
      <c r="D19" s="12">
        <v>71</v>
      </c>
      <c r="E19" s="60">
        <v>10</v>
      </c>
      <c r="F19" s="47">
        <v>17</v>
      </c>
      <c r="G19" s="161"/>
      <c r="H19" s="143">
        <f t="shared" si="0"/>
        <v>98</v>
      </c>
    </row>
    <row r="20" spans="1:8" ht="19.5" customHeight="1">
      <c r="A20" s="121">
        <v>19</v>
      </c>
      <c r="B20" s="109" t="s">
        <v>63</v>
      </c>
      <c r="C20" s="110" t="s">
        <v>24</v>
      </c>
      <c r="D20" s="12">
        <v>0</v>
      </c>
      <c r="E20" s="60">
        <v>26</v>
      </c>
      <c r="F20" s="47">
        <v>0</v>
      </c>
      <c r="G20" s="161"/>
      <c r="H20" s="143">
        <f t="shared" si="0"/>
        <v>26</v>
      </c>
    </row>
    <row r="21" spans="1:8" ht="19.5" customHeight="1">
      <c r="A21" s="121">
        <v>20</v>
      </c>
      <c r="B21" s="109" t="s">
        <v>341</v>
      </c>
      <c r="C21" s="110" t="s">
        <v>169</v>
      </c>
      <c r="D21" s="13">
        <v>25</v>
      </c>
      <c r="E21" s="62">
        <v>0</v>
      </c>
      <c r="F21" s="48">
        <v>0</v>
      </c>
      <c r="G21" s="166"/>
      <c r="H21" s="143">
        <f t="shared" si="0"/>
        <v>25</v>
      </c>
    </row>
    <row r="22" spans="1:8" ht="19.5" customHeight="1">
      <c r="A22" s="121">
        <v>21</v>
      </c>
      <c r="B22" s="109" t="s">
        <v>342</v>
      </c>
      <c r="C22" s="110" t="s">
        <v>135</v>
      </c>
      <c r="D22" s="13">
        <v>27</v>
      </c>
      <c r="E22" s="62">
        <v>0</v>
      </c>
      <c r="F22" s="48">
        <v>0</v>
      </c>
      <c r="G22" s="166"/>
      <c r="H22" s="143">
        <f t="shared" si="0"/>
        <v>27</v>
      </c>
    </row>
    <row r="23" spans="1:8" ht="19.5" customHeight="1" thickBot="1">
      <c r="A23" s="123">
        <v>22</v>
      </c>
      <c r="B23" s="111" t="s">
        <v>343</v>
      </c>
      <c r="C23" s="112" t="s">
        <v>59</v>
      </c>
      <c r="D23" s="14">
        <v>6</v>
      </c>
      <c r="E23" s="61">
        <v>2</v>
      </c>
      <c r="F23" s="51">
        <v>0</v>
      </c>
      <c r="G23" s="162"/>
      <c r="H23" s="144">
        <f t="shared" si="0"/>
        <v>8</v>
      </c>
    </row>
    <row r="24" spans="1:8" s="147" customFormat="1" ht="15.75">
      <c r="A24" s="156"/>
      <c r="B24" s="151" t="s">
        <v>457</v>
      </c>
      <c r="D24" s="148">
        <v>10</v>
      </c>
      <c r="E24" s="152"/>
      <c r="F24" s="149"/>
      <c r="G24" s="149"/>
      <c r="H24" s="148">
        <f>SUM(D24:G24)</f>
        <v>10</v>
      </c>
    </row>
    <row r="25" spans="4:7" ht="15.75" thickBot="1">
      <c r="D25" s="17"/>
      <c r="E25" s="15"/>
      <c r="F25" s="49"/>
      <c r="G25" s="49"/>
    </row>
    <row r="26" spans="1:8" s="53" customFormat="1" ht="16.5" thickBot="1">
      <c r="A26" s="52"/>
      <c r="B26" s="172" t="s">
        <v>351</v>
      </c>
      <c r="D26" s="19">
        <f>SUM(D2:D24)</f>
        <v>963</v>
      </c>
      <c r="E26" s="19">
        <f>SUM(E2:E24)</f>
        <v>367</v>
      </c>
      <c r="F26" s="50">
        <f>SUM(F2:F24)</f>
        <v>397.5</v>
      </c>
      <c r="G26" s="50">
        <f>SUM(G2:G24)</f>
        <v>0</v>
      </c>
      <c r="H26" s="171">
        <f>SUM(H2:H24)</f>
        <v>1727.5</v>
      </c>
    </row>
    <row r="27" ht="12.75">
      <c r="H27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 xml:space="preserve">&amp;C&amp;"Arial,Tučné"&amp;16Sběr 2008 - 2009&amp;R&amp;"Arial,Tučné"&amp;16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5"/>
  <sheetViews>
    <sheetView workbookViewId="0" topLeftCell="A1">
      <selection activeCell="G33" sqref="G33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4" t="s">
        <v>0</v>
      </c>
      <c r="B1" s="5" t="s">
        <v>349</v>
      </c>
      <c r="C1" s="4" t="s">
        <v>350</v>
      </c>
      <c r="D1" s="139" t="s">
        <v>409</v>
      </c>
      <c r="E1" s="140" t="s">
        <v>463</v>
      </c>
      <c r="F1" s="208" t="s">
        <v>483</v>
      </c>
      <c r="G1" s="84"/>
      <c r="H1" s="200" t="s">
        <v>405</v>
      </c>
    </row>
    <row r="2" spans="1:8" ht="19.5" customHeight="1">
      <c r="A2" s="7">
        <v>1</v>
      </c>
      <c r="B2" s="184" t="s">
        <v>462</v>
      </c>
      <c r="C2" s="185" t="s">
        <v>4</v>
      </c>
      <c r="D2" s="201" t="s">
        <v>482</v>
      </c>
      <c r="E2" s="12">
        <v>0</v>
      </c>
      <c r="F2" s="68">
        <v>0</v>
      </c>
      <c r="G2" s="186"/>
      <c r="H2" s="202">
        <f>SUM(D2:G2)</f>
        <v>0</v>
      </c>
    </row>
    <row r="3" spans="1:8" ht="19.5" customHeight="1">
      <c r="A3" s="8">
        <v>2</v>
      </c>
      <c r="B3" s="181" t="s">
        <v>410</v>
      </c>
      <c r="C3" s="179" t="s">
        <v>24</v>
      </c>
      <c r="D3" s="180">
        <v>9</v>
      </c>
      <c r="E3" s="11">
        <v>10</v>
      </c>
      <c r="F3" s="59">
        <v>0</v>
      </c>
      <c r="G3" s="163"/>
      <c r="H3" s="202">
        <f>SUM(D3:G3)</f>
        <v>19</v>
      </c>
    </row>
    <row r="4" spans="1:8" ht="19.5" customHeight="1">
      <c r="A4" s="8">
        <v>3</v>
      </c>
      <c r="B4" s="182" t="s">
        <v>411</v>
      </c>
      <c r="C4" s="90" t="s">
        <v>23</v>
      </c>
      <c r="D4" s="70">
        <v>0</v>
      </c>
      <c r="E4" s="12">
        <v>1</v>
      </c>
      <c r="F4" s="60">
        <v>36</v>
      </c>
      <c r="G4" s="161"/>
      <c r="H4" s="203">
        <f aca="true" t="shared" si="0" ref="H4:H22">SUM(D4:G4)</f>
        <v>37</v>
      </c>
    </row>
    <row r="5" spans="1:8" ht="19.5" customHeight="1">
      <c r="A5" s="8">
        <v>4</v>
      </c>
      <c r="B5" s="182" t="s">
        <v>412</v>
      </c>
      <c r="C5" s="90" t="s">
        <v>387</v>
      </c>
      <c r="D5" s="70">
        <v>25</v>
      </c>
      <c r="E5" s="12">
        <v>33</v>
      </c>
      <c r="F5" s="60">
        <v>19</v>
      </c>
      <c r="G5" s="161"/>
      <c r="H5" s="203">
        <f t="shared" si="0"/>
        <v>77</v>
      </c>
    </row>
    <row r="6" spans="1:8" ht="19.5" customHeight="1">
      <c r="A6" s="8">
        <v>5</v>
      </c>
      <c r="B6" s="182" t="s">
        <v>413</v>
      </c>
      <c r="C6" s="90" t="s">
        <v>414</v>
      </c>
      <c r="D6" s="70">
        <v>6</v>
      </c>
      <c r="E6" s="12">
        <v>14</v>
      </c>
      <c r="F6" s="60">
        <v>15</v>
      </c>
      <c r="G6" s="161"/>
      <c r="H6" s="203">
        <f t="shared" si="0"/>
        <v>35</v>
      </c>
    </row>
    <row r="7" spans="1:8" ht="19.5" customHeight="1">
      <c r="A7" s="8">
        <v>6</v>
      </c>
      <c r="B7" s="182" t="s">
        <v>458</v>
      </c>
      <c r="C7" s="90" t="s">
        <v>160</v>
      </c>
      <c r="D7" s="70">
        <v>0</v>
      </c>
      <c r="E7" s="12">
        <v>15</v>
      </c>
      <c r="F7" s="60">
        <v>0</v>
      </c>
      <c r="G7" s="161"/>
      <c r="H7" s="203">
        <f t="shared" si="0"/>
        <v>15</v>
      </c>
    </row>
    <row r="8" spans="1:8" ht="19.5" customHeight="1">
      <c r="A8" s="8">
        <v>7</v>
      </c>
      <c r="B8" s="182" t="s">
        <v>415</v>
      </c>
      <c r="C8" s="90" t="s">
        <v>416</v>
      </c>
      <c r="D8" s="70">
        <v>0</v>
      </c>
      <c r="E8" s="12">
        <v>130</v>
      </c>
      <c r="F8" s="60">
        <v>160</v>
      </c>
      <c r="G8" s="161"/>
      <c r="H8" s="203">
        <f t="shared" si="0"/>
        <v>290</v>
      </c>
    </row>
    <row r="9" spans="1:8" ht="19.5" customHeight="1">
      <c r="A9" s="8">
        <v>8</v>
      </c>
      <c r="B9" s="182" t="s">
        <v>417</v>
      </c>
      <c r="C9" s="90" t="s">
        <v>64</v>
      </c>
      <c r="D9" s="70">
        <v>0</v>
      </c>
      <c r="E9" s="12">
        <v>8</v>
      </c>
      <c r="F9" s="60">
        <v>0</v>
      </c>
      <c r="G9" s="161"/>
      <c r="H9" s="203">
        <f t="shared" si="0"/>
        <v>8</v>
      </c>
    </row>
    <row r="10" spans="1:8" ht="19.5" customHeight="1">
      <c r="A10" s="8">
        <v>9</v>
      </c>
      <c r="B10" s="182" t="s">
        <v>256</v>
      </c>
      <c r="C10" s="90" t="s">
        <v>59</v>
      </c>
      <c r="D10" s="70">
        <v>18</v>
      </c>
      <c r="E10" s="12">
        <v>5</v>
      </c>
      <c r="F10" s="60">
        <v>9</v>
      </c>
      <c r="G10" s="161"/>
      <c r="H10" s="203">
        <f t="shared" si="0"/>
        <v>32</v>
      </c>
    </row>
    <row r="11" spans="1:8" ht="19.5" customHeight="1">
      <c r="A11" s="8">
        <v>10</v>
      </c>
      <c r="B11" s="182" t="s">
        <v>418</v>
      </c>
      <c r="C11" s="90" t="s">
        <v>95</v>
      </c>
      <c r="D11" s="70">
        <v>0</v>
      </c>
      <c r="E11" s="12">
        <v>0</v>
      </c>
      <c r="F11" s="60">
        <v>0</v>
      </c>
      <c r="G11" s="161"/>
      <c r="H11" s="203">
        <f t="shared" si="0"/>
        <v>0</v>
      </c>
    </row>
    <row r="12" spans="1:8" ht="19.5" customHeight="1">
      <c r="A12" s="8">
        <v>11</v>
      </c>
      <c r="B12" s="182" t="s">
        <v>261</v>
      </c>
      <c r="C12" s="90" t="s">
        <v>157</v>
      </c>
      <c r="D12" s="70">
        <v>2</v>
      </c>
      <c r="E12" s="12">
        <v>8</v>
      </c>
      <c r="F12" s="60">
        <v>27</v>
      </c>
      <c r="G12" s="161"/>
      <c r="H12" s="203">
        <f t="shared" si="0"/>
        <v>37</v>
      </c>
    </row>
    <row r="13" spans="1:8" ht="19.5" customHeight="1">
      <c r="A13" s="8">
        <v>12</v>
      </c>
      <c r="B13" s="182" t="s">
        <v>419</v>
      </c>
      <c r="C13" s="90" t="s">
        <v>420</v>
      </c>
      <c r="D13" s="70">
        <v>0</v>
      </c>
      <c r="E13" s="12">
        <v>130</v>
      </c>
      <c r="F13" s="60">
        <v>160</v>
      </c>
      <c r="G13" s="161"/>
      <c r="H13" s="203">
        <f t="shared" si="0"/>
        <v>290</v>
      </c>
    </row>
    <row r="14" spans="1:8" ht="19.5" customHeight="1">
      <c r="A14" s="8">
        <v>13</v>
      </c>
      <c r="B14" s="182" t="s">
        <v>92</v>
      </c>
      <c r="C14" s="90" t="s">
        <v>50</v>
      </c>
      <c r="D14" s="70">
        <v>40</v>
      </c>
      <c r="E14" s="12">
        <v>111</v>
      </c>
      <c r="F14" s="60">
        <v>35</v>
      </c>
      <c r="G14" s="161"/>
      <c r="H14" s="203">
        <f t="shared" si="0"/>
        <v>186</v>
      </c>
    </row>
    <row r="15" spans="1:8" ht="19.5" customHeight="1">
      <c r="A15" s="8">
        <v>14</v>
      </c>
      <c r="B15" s="182" t="s">
        <v>421</v>
      </c>
      <c r="C15" s="90" t="s">
        <v>422</v>
      </c>
      <c r="D15" s="70">
        <v>23</v>
      </c>
      <c r="E15" s="12">
        <v>11</v>
      </c>
      <c r="F15" s="60">
        <v>30</v>
      </c>
      <c r="G15" s="161"/>
      <c r="H15" s="203">
        <f t="shared" si="0"/>
        <v>64</v>
      </c>
    </row>
    <row r="16" spans="1:8" ht="19.5" customHeight="1">
      <c r="A16" s="8">
        <v>15</v>
      </c>
      <c r="B16" s="182" t="s">
        <v>423</v>
      </c>
      <c r="C16" s="90" t="s">
        <v>6</v>
      </c>
      <c r="D16" s="70">
        <v>0</v>
      </c>
      <c r="E16" s="12">
        <v>0</v>
      </c>
      <c r="F16" s="60">
        <v>0</v>
      </c>
      <c r="G16" s="161"/>
      <c r="H16" s="203">
        <f t="shared" si="0"/>
        <v>0</v>
      </c>
    </row>
    <row r="17" spans="1:8" ht="19.5" customHeight="1">
      <c r="A17" s="8">
        <v>16</v>
      </c>
      <c r="B17" s="182" t="s">
        <v>272</v>
      </c>
      <c r="C17" s="90" t="s">
        <v>24</v>
      </c>
      <c r="D17" s="70">
        <v>0</v>
      </c>
      <c r="E17" s="12">
        <v>0</v>
      </c>
      <c r="F17" s="60">
        <v>0</v>
      </c>
      <c r="G17" s="161"/>
      <c r="H17" s="203">
        <f t="shared" si="0"/>
        <v>0</v>
      </c>
    </row>
    <row r="18" spans="1:8" ht="19.5" customHeight="1">
      <c r="A18" s="8">
        <v>17</v>
      </c>
      <c r="B18" s="182" t="s">
        <v>424</v>
      </c>
      <c r="C18" s="90" t="s">
        <v>135</v>
      </c>
      <c r="D18" s="70">
        <v>0</v>
      </c>
      <c r="E18" s="12">
        <v>0</v>
      </c>
      <c r="F18" s="60">
        <v>0</v>
      </c>
      <c r="G18" s="161"/>
      <c r="H18" s="203">
        <f t="shared" si="0"/>
        <v>0</v>
      </c>
    </row>
    <row r="19" spans="1:8" ht="19.5" customHeight="1">
      <c r="A19" s="8">
        <v>18</v>
      </c>
      <c r="B19" s="182" t="s">
        <v>425</v>
      </c>
      <c r="C19" s="90" t="s">
        <v>48</v>
      </c>
      <c r="D19" s="70">
        <v>0</v>
      </c>
      <c r="E19" s="12">
        <v>0</v>
      </c>
      <c r="F19" s="60">
        <v>0</v>
      </c>
      <c r="G19" s="161"/>
      <c r="H19" s="203">
        <f t="shared" si="0"/>
        <v>0</v>
      </c>
    </row>
    <row r="20" spans="1:8" ht="19.5" customHeight="1">
      <c r="A20" s="8">
        <v>19</v>
      </c>
      <c r="B20" s="182" t="s">
        <v>426</v>
      </c>
      <c r="C20" s="90" t="s">
        <v>13</v>
      </c>
      <c r="D20" s="70">
        <f>91+61</f>
        <v>152</v>
      </c>
      <c r="E20" s="12">
        <f>320+137+103</f>
        <v>560</v>
      </c>
      <c r="F20" s="221">
        <f>300+313</f>
        <v>613</v>
      </c>
      <c r="G20" s="161"/>
      <c r="H20" s="203">
        <f t="shared" si="0"/>
        <v>1325</v>
      </c>
    </row>
    <row r="21" spans="1:8" ht="19.5" customHeight="1">
      <c r="A21" s="8">
        <v>20</v>
      </c>
      <c r="B21" s="182" t="s">
        <v>427</v>
      </c>
      <c r="C21" s="90" t="s">
        <v>17</v>
      </c>
      <c r="D21" s="70">
        <v>2</v>
      </c>
      <c r="E21" s="12">
        <v>13</v>
      </c>
      <c r="F21" s="60">
        <v>5</v>
      </c>
      <c r="G21" s="161"/>
      <c r="H21" s="203">
        <f t="shared" si="0"/>
        <v>20</v>
      </c>
    </row>
    <row r="22" spans="1:8" ht="19.5" customHeight="1" thickBot="1">
      <c r="A22" s="9">
        <v>21</v>
      </c>
      <c r="B22" s="183" t="s">
        <v>428</v>
      </c>
      <c r="C22" s="92" t="s">
        <v>48</v>
      </c>
      <c r="D22" s="71">
        <v>4</v>
      </c>
      <c r="E22" s="14">
        <v>0</v>
      </c>
      <c r="F22" s="61">
        <v>5</v>
      </c>
      <c r="G22" s="162"/>
      <c r="H22" s="204">
        <f t="shared" si="0"/>
        <v>9</v>
      </c>
    </row>
    <row r="23" spans="2:8" ht="15.75">
      <c r="B23" s="151" t="s">
        <v>457</v>
      </c>
      <c r="C23" s="147"/>
      <c r="D23" s="148">
        <v>8</v>
      </c>
      <c r="E23" s="148"/>
      <c r="F23" s="149"/>
      <c r="G23" s="149"/>
      <c r="H23" s="148">
        <f>SUM(D23:G23)</f>
        <v>8</v>
      </c>
    </row>
    <row r="24" spans="2:8" ht="16.5" thickBot="1">
      <c r="B24" s="151"/>
      <c r="C24" s="147"/>
      <c r="D24" s="148"/>
      <c r="E24" s="148"/>
      <c r="F24" s="149"/>
      <c r="G24" s="149"/>
      <c r="H24" s="147"/>
    </row>
    <row r="25" spans="1:8" s="53" customFormat="1" ht="16.5" thickBot="1">
      <c r="A25" s="52"/>
      <c r="B25" s="172" t="s">
        <v>351</v>
      </c>
      <c r="D25" s="19">
        <f>SUM(D3:D23)</f>
        <v>289</v>
      </c>
      <c r="E25" s="19">
        <f>SUM(E3:E22)</f>
        <v>1049</v>
      </c>
      <c r="F25" s="50">
        <f>SUM(F3:F23)</f>
        <v>1114</v>
      </c>
      <c r="G25" s="50">
        <f>SUM(G3:G23)</f>
        <v>0</v>
      </c>
      <c r="H25" s="171">
        <f>SUM(H3:H23)</f>
        <v>2452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&amp;C&amp;"Arial,Tučné"&amp;14Sběr 2008 - 2009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23"/>
  <sheetViews>
    <sheetView workbookViewId="0" topLeftCell="A1">
      <selection activeCell="F14" sqref="F14"/>
    </sheetView>
  </sheetViews>
  <sheetFormatPr defaultColWidth="9.140625" defaultRowHeight="12.75"/>
  <cols>
    <col min="1" max="1" width="5.140625" style="2" customWidth="1"/>
    <col min="2" max="2" width="17.57421875" style="0" customWidth="1"/>
    <col min="3" max="3" width="15.7109375" style="0" customWidth="1"/>
    <col min="4" max="4" width="12.7109375" style="1" customWidth="1"/>
    <col min="5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211" t="s">
        <v>37</v>
      </c>
      <c r="B1" s="5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7">
        <v>1</v>
      </c>
      <c r="B2" s="87" t="s">
        <v>38</v>
      </c>
      <c r="C2" s="88" t="s">
        <v>127</v>
      </c>
      <c r="D2" s="187">
        <v>5</v>
      </c>
      <c r="E2" s="68">
        <v>10</v>
      </c>
      <c r="F2" s="68">
        <v>19</v>
      </c>
      <c r="G2" s="160"/>
      <c r="H2" s="205">
        <f aca="true" t="shared" si="0" ref="H2:H21">SUM(D2:G2)</f>
        <v>34</v>
      </c>
    </row>
    <row r="3" spans="1:8" ht="19.5" customHeight="1">
      <c r="A3" s="8"/>
      <c r="B3" s="212" t="s">
        <v>429</v>
      </c>
      <c r="C3" s="213" t="s">
        <v>430</v>
      </c>
      <c r="D3" s="188">
        <v>9</v>
      </c>
      <c r="E3" s="214">
        <v>13</v>
      </c>
      <c r="F3" s="60" t="s">
        <v>482</v>
      </c>
      <c r="G3" s="161"/>
      <c r="H3" s="206">
        <f t="shared" si="0"/>
        <v>22</v>
      </c>
    </row>
    <row r="4" spans="1:8" ht="19.5" customHeight="1">
      <c r="A4" s="8">
        <v>2</v>
      </c>
      <c r="B4" s="89" t="s">
        <v>431</v>
      </c>
      <c r="C4" s="90" t="s">
        <v>9</v>
      </c>
      <c r="D4" s="188">
        <v>15</v>
      </c>
      <c r="E4" s="60">
        <v>27</v>
      </c>
      <c r="F4" s="60">
        <v>17</v>
      </c>
      <c r="G4" s="161"/>
      <c r="H4" s="206">
        <f t="shared" si="0"/>
        <v>59</v>
      </c>
    </row>
    <row r="5" spans="1:8" ht="19.5" customHeight="1">
      <c r="A5" s="8">
        <v>3</v>
      </c>
      <c r="B5" s="89" t="s">
        <v>432</v>
      </c>
      <c r="C5" s="90" t="s">
        <v>212</v>
      </c>
      <c r="D5" s="188">
        <v>23</v>
      </c>
      <c r="E5" s="60">
        <v>19</v>
      </c>
      <c r="F5" s="60">
        <v>10</v>
      </c>
      <c r="G5" s="161"/>
      <c r="H5" s="206">
        <f t="shared" si="0"/>
        <v>52</v>
      </c>
    </row>
    <row r="6" spans="1:8" ht="19.5" customHeight="1">
      <c r="A6" s="8">
        <v>4</v>
      </c>
      <c r="B6" s="89" t="s">
        <v>433</v>
      </c>
      <c r="C6" s="90" t="s">
        <v>24</v>
      </c>
      <c r="D6" s="188">
        <v>5</v>
      </c>
      <c r="E6" s="60">
        <v>0</v>
      </c>
      <c r="F6" s="60">
        <v>10</v>
      </c>
      <c r="G6" s="161"/>
      <c r="H6" s="206">
        <f t="shared" si="0"/>
        <v>15</v>
      </c>
    </row>
    <row r="7" spans="1:8" ht="19.5" customHeight="1">
      <c r="A7" s="8">
        <v>5</v>
      </c>
      <c r="B7" s="89" t="s">
        <v>133</v>
      </c>
      <c r="C7" s="90" t="s">
        <v>50</v>
      </c>
      <c r="D7" s="188">
        <v>100</v>
      </c>
      <c r="E7" s="60">
        <v>240</v>
      </c>
      <c r="F7" s="221">
        <f>50+160</f>
        <v>210</v>
      </c>
      <c r="G7" s="161"/>
      <c r="H7" s="206">
        <f t="shared" si="0"/>
        <v>550</v>
      </c>
    </row>
    <row r="8" spans="1:8" ht="19.5" customHeight="1">
      <c r="A8" s="8">
        <v>6</v>
      </c>
      <c r="B8" s="89" t="s">
        <v>434</v>
      </c>
      <c r="C8" s="90" t="s">
        <v>121</v>
      </c>
      <c r="D8" s="188">
        <v>0</v>
      </c>
      <c r="E8" s="60">
        <v>0</v>
      </c>
      <c r="F8" s="60">
        <v>0.5</v>
      </c>
      <c r="G8" s="161"/>
      <c r="H8" s="206">
        <f t="shared" si="0"/>
        <v>0.5</v>
      </c>
    </row>
    <row r="9" spans="1:8" ht="19.5" customHeight="1">
      <c r="A9" s="8">
        <v>7</v>
      </c>
      <c r="B9" s="89" t="s">
        <v>435</v>
      </c>
      <c r="C9" s="90" t="s">
        <v>85</v>
      </c>
      <c r="D9" s="188">
        <v>0</v>
      </c>
      <c r="E9" s="60">
        <v>15</v>
      </c>
      <c r="F9" s="60">
        <v>7</v>
      </c>
      <c r="G9" s="161"/>
      <c r="H9" s="206">
        <f t="shared" si="0"/>
        <v>22</v>
      </c>
    </row>
    <row r="10" spans="1:8" ht="19.5" customHeight="1">
      <c r="A10" s="8">
        <v>8</v>
      </c>
      <c r="B10" s="89" t="s">
        <v>436</v>
      </c>
      <c r="C10" s="90" t="s">
        <v>224</v>
      </c>
      <c r="D10" s="188">
        <v>23</v>
      </c>
      <c r="E10" s="60">
        <v>2</v>
      </c>
      <c r="F10" s="60">
        <v>45</v>
      </c>
      <c r="G10" s="161"/>
      <c r="H10" s="206">
        <f t="shared" si="0"/>
        <v>70</v>
      </c>
    </row>
    <row r="11" spans="1:8" ht="19.5" customHeight="1">
      <c r="A11" s="8">
        <v>9</v>
      </c>
      <c r="B11" s="89" t="s">
        <v>437</v>
      </c>
      <c r="C11" s="90" t="s">
        <v>9</v>
      </c>
      <c r="D11" s="188">
        <v>21</v>
      </c>
      <c r="E11" s="60">
        <v>40</v>
      </c>
      <c r="F11" s="60">
        <v>51</v>
      </c>
      <c r="G11" s="161"/>
      <c r="H11" s="206">
        <f t="shared" si="0"/>
        <v>112</v>
      </c>
    </row>
    <row r="12" spans="1:8" ht="19.5" customHeight="1">
      <c r="A12" s="8"/>
      <c r="B12" s="89" t="s">
        <v>459</v>
      </c>
      <c r="C12" s="90" t="s">
        <v>460</v>
      </c>
      <c r="D12" s="188" t="s">
        <v>482</v>
      </c>
      <c r="E12" s="60">
        <v>0</v>
      </c>
      <c r="F12" s="60" t="s">
        <v>482</v>
      </c>
      <c r="G12" s="161"/>
      <c r="H12" s="206">
        <f t="shared" si="0"/>
        <v>0</v>
      </c>
    </row>
    <row r="13" spans="1:8" ht="19.5" customHeight="1">
      <c r="A13" s="8">
        <v>10</v>
      </c>
      <c r="B13" s="89" t="s">
        <v>92</v>
      </c>
      <c r="C13" s="90" t="s">
        <v>41</v>
      </c>
      <c r="D13" s="188">
        <v>0</v>
      </c>
      <c r="E13" s="60">
        <v>3</v>
      </c>
      <c r="F13" s="60">
        <v>5</v>
      </c>
      <c r="G13" s="161"/>
      <c r="H13" s="206">
        <f t="shared" si="0"/>
        <v>8</v>
      </c>
    </row>
    <row r="14" spans="1:8" ht="19.5" customHeight="1">
      <c r="A14" s="8">
        <v>11</v>
      </c>
      <c r="B14" s="89" t="s">
        <v>438</v>
      </c>
      <c r="C14" s="90" t="s">
        <v>4</v>
      </c>
      <c r="D14" s="188">
        <v>0</v>
      </c>
      <c r="E14" s="60">
        <v>0</v>
      </c>
      <c r="F14" s="60">
        <v>5</v>
      </c>
      <c r="G14" s="161"/>
      <c r="H14" s="206">
        <f t="shared" si="0"/>
        <v>5</v>
      </c>
    </row>
    <row r="15" spans="1:8" ht="19.5" customHeight="1">
      <c r="A15" s="8">
        <v>12</v>
      </c>
      <c r="B15" s="89" t="s">
        <v>439</v>
      </c>
      <c r="C15" s="90" t="s">
        <v>269</v>
      </c>
      <c r="D15" s="188">
        <v>44</v>
      </c>
      <c r="E15" s="60">
        <v>75</v>
      </c>
      <c r="F15" s="60">
        <v>147</v>
      </c>
      <c r="G15" s="161"/>
      <c r="H15" s="206">
        <f t="shared" si="0"/>
        <v>266</v>
      </c>
    </row>
    <row r="16" spans="1:8" ht="19.5" customHeight="1">
      <c r="A16" s="8">
        <v>13</v>
      </c>
      <c r="B16" s="89" t="s">
        <v>440</v>
      </c>
      <c r="C16" s="90" t="s">
        <v>76</v>
      </c>
      <c r="D16" s="188">
        <v>40</v>
      </c>
      <c r="E16" s="60">
        <v>25</v>
      </c>
      <c r="F16" s="60">
        <v>35</v>
      </c>
      <c r="G16" s="161"/>
      <c r="H16" s="206">
        <f t="shared" si="0"/>
        <v>100</v>
      </c>
    </row>
    <row r="17" spans="1:8" ht="19.5" customHeight="1">
      <c r="A17" s="8">
        <v>14</v>
      </c>
      <c r="B17" s="89" t="s">
        <v>441</v>
      </c>
      <c r="C17" s="90" t="s">
        <v>35</v>
      </c>
      <c r="D17" s="188">
        <v>0</v>
      </c>
      <c r="E17" s="60">
        <v>12</v>
      </c>
      <c r="F17" s="60">
        <v>12</v>
      </c>
      <c r="G17" s="161"/>
      <c r="H17" s="206">
        <f t="shared" si="0"/>
        <v>24</v>
      </c>
    </row>
    <row r="18" spans="1:8" ht="19.5" customHeight="1">
      <c r="A18" s="8">
        <v>15</v>
      </c>
      <c r="B18" s="89" t="s">
        <v>442</v>
      </c>
      <c r="C18" s="90" t="s">
        <v>97</v>
      </c>
      <c r="D18" s="188">
        <v>0</v>
      </c>
      <c r="E18" s="60">
        <v>5</v>
      </c>
      <c r="F18" s="60">
        <v>3</v>
      </c>
      <c r="G18" s="161"/>
      <c r="H18" s="206">
        <f t="shared" si="0"/>
        <v>8</v>
      </c>
    </row>
    <row r="19" spans="1:8" ht="19.5" customHeight="1">
      <c r="A19" s="8">
        <v>16</v>
      </c>
      <c r="B19" s="89" t="s">
        <v>443</v>
      </c>
      <c r="C19" s="90" t="s">
        <v>21</v>
      </c>
      <c r="D19" s="188">
        <v>140</v>
      </c>
      <c r="E19" s="60">
        <v>109</v>
      </c>
      <c r="F19" s="60">
        <v>130</v>
      </c>
      <c r="G19" s="161"/>
      <c r="H19" s="206">
        <f t="shared" si="0"/>
        <v>379</v>
      </c>
    </row>
    <row r="20" spans="1:8" ht="19.5" customHeight="1" thickBot="1">
      <c r="A20" s="9">
        <v>17</v>
      </c>
      <c r="B20" s="91" t="s">
        <v>444</v>
      </c>
      <c r="C20" s="92" t="s">
        <v>61</v>
      </c>
      <c r="D20" s="189">
        <f>1060+152</f>
        <v>1212</v>
      </c>
      <c r="E20" s="61">
        <v>2390</v>
      </c>
      <c r="F20" s="228">
        <f>360+240+540+540+120+140</f>
        <v>1940</v>
      </c>
      <c r="G20" s="162"/>
      <c r="H20" s="207">
        <f t="shared" si="0"/>
        <v>5542</v>
      </c>
    </row>
    <row r="21" spans="2:8" ht="15.75">
      <c r="B21" s="151" t="s">
        <v>457</v>
      </c>
      <c r="C21" s="147"/>
      <c r="D21" s="148">
        <v>8</v>
      </c>
      <c r="E21" s="148"/>
      <c r="F21" s="148">
        <v>5</v>
      </c>
      <c r="G21" s="150"/>
      <c r="H21" s="148">
        <f t="shared" si="0"/>
        <v>13</v>
      </c>
    </row>
    <row r="22" spans="2:8" ht="16.5" thickBot="1">
      <c r="B22" s="151"/>
      <c r="C22" s="147"/>
      <c r="D22" s="148"/>
      <c r="E22" s="148"/>
      <c r="F22" s="150"/>
      <c r="G22" s="150"/>
      <c r="H22" s="147"/>
    </row>
    <row r="23" spans="1:8" s="53" customFormat="1" ht="16.5" thickBot="1">
      <c r="A23" s="52"/>
      <c r="B23" s="172" t="s">
        <v>351</v>
      </c>
      <c r="D23" s="19">
        <f>SUM(D2:D21)</f>
        <v>1645</v>
      </c>
      <c r="E23" s="50">
        <f>SUM(E2:E21)</f>
        <v>2985</v>
      </c>
      <c r="F23" s="50">
        <f>SUM(F2:F21)</f>
        <v>2651.5</v>
      </c>
      <c r="G23" s="50">
        <f>SUM(G2:G21)</f>
        <v>0</v>
      </c>
      <c r="H23" s="171">
        <f>SUM(H2:H21)</f>
        <v>7281.5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  <headerFooter alignWithMargins="0">
    <oddHeader>&amp;C&amp;"Arial,Tučné"&amp;16Sběr 2008 - 2009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F18" sqref="F18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69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346</v>
      </c>
      <c r="C2" s="94" t="s">
        <v>66</v>
      </c>
      <c r="D2" s="11">
        <f>5+5</f>
        <v>10</v>
      </c>
      <c r="E2" s="59">
        <f>8+47+10</f>
        <v>65</v>
      </c>
      <c r="F2" s="46">
        <v>32</v>
      </c>
      <c r="G2" s="163"/>
      <c r="H2" s="142">
        <f>SUM(D2:G2)</f>
        <v>107</v>
      </c>
    </row>
    <row r="3" spans="1:8" ht="19.5" customHeight="1">
      <c r="A3" s="100">
        <v>2</v>
      </c>
      <c r="B3" s="95" t="s">
        <v>445</v>
      </c>
      <c r="C3" s="96" t="s">
        <v>64</v>
      </c>
      <c r="D3" s="12">
        <f>11+12</f>
        <v>23</v>
      </c>
      <c r="E3" s="60">
        <v>32</v>
      </c>
      <c r="F3" s="47">
        <v>65</v>
      </c>
      <c r="G3" s="161"/>
      <c r="H3" s="143">
        <f aca="true" t="shared" si="0" ref="H3:H23">SUM(D3:G3)</f>
        <v>120</v>
      </c>
    </row>
    <row r="4" spans="1:8" ht="19.5" customHeight="1">
      <c r="A4" s="100">
        <v>3</v>
      </c>
      <c r="B4" s="95" t="s">
        <v>353</v>
      </c>
      <c r="C4" s="96" t="s">
        <v>178</v>
      </c>
      <c r="D4" s="12">
        <f>18+10</f>
        <v>28</v>
      </c>
      <c r="E4" s="60">
        <f>85+53</f>
        <v>138</v>
      </c>
      <c r="F4" s="47">
        <f>94+22</f>
        <v>116</v>
      </c>
      <c r="G4" s="161"/>
      <c r="H4" s="143">
        <f t="shared" si="0"/>
        <v>282</v>
      </c>
    </row>
    <row r="5" spans="1:8" ht="19.5" customHeight="1">
      <c r="A5" s="100">
        <v>4</v>
      </c>
      <c r="B5" s="95" t="s">
        <v>38</v>
      </c>
      <c r="C5" s="96" t="s">
        <v>430</v>
      </c>
      <c r="D5" s="12">
        <v>0</v>
      </c>
      <c r="E5" s="60">
        <v>17</v>
      </c>
      <c r="F5" s="47">
        <v>0</v>
      </c>
      <c r="G5" s="161"/>
      <c r="H5" s="143">
        <f t="shared" si="0"/>
        <v>17</v>
      </c>
    </row>
    <row r="6" spans="1:8" ht="19.5" customHeight="1">
      <c r="A6" s="100">
        <v>5</v>
      </c>
      <c r="B6" s="95" t="s">
        <v>354</v>
      </c>
      <c r="C6" s="96" t="s">
        <v>15</v>
      </c>
      <c r="D6" s="12">
        <v>0</v>
      </c>
      <c r="E6" s="60">
        <v>53</v>
      </c>
      <c r="F6" s="47">
        <v>22</v>
      </c>
      <c r="G6" s="161"/>
      <c r="H6" s="143">
        <f t="shared" si="0"/>
        <v>75</v>
      </c>
    </row>
    <row r="7" spans="1:8" ht="19.5" customHeight="1">
      <c r="A7" s="100">
        <v>6</v>
      </c>
      <c r="B7" s="95" t="s">
        <v>355</v>
      </c>
      <c r="C7" s="96" t="s">
        <v>33</v>
      </c>
      <c r="D7" s="12">
        <f>8+4+9</f>
        <v>21</v>
      </c>
      <c r="E7" s="60">
        <v>0</v>
      </c>
      <c r="F7" s="47">
        <f>520+3</f>
        <v>523</v>
      </c>
      <c r="G7" s="161"/>
      <c r="H7" s="143">
        <f t="shared" si="0"/>
        <v>544</v>
      </c>
    </row>
    <row r="8" spans="1:8" ht="19.5" customHeight="1">
      <c r="A8" s="100">
        <v>7</v>
      </c>
      <c r="B8" s="95" t="s">
        <v>356</v>
      </c>
      <c r="C8" s="96" t="s">
        <v>357</v>
      </c>
      <c r="D8" s="12">
        <f>108+3</f>
        <v>111</v>
      </c>
      <c r="E8" s="60">
        <v>101</v>
      </c>
      <c r="F8" s="47">
        <v>0</v>
      </c>
      <c r="G8" s="161"/>
      <c r="H8" s="143">
        <f t="shared" si="0"/>
        <v>212</v>
      </c>
    </row>
    <row r="9" spans="1:8" ht="19.5" customHeight="1">
      <c r="A9" s="100">
        <v>8</v>
      </c>
      <c r="B9" s="95" t="s">
        <v>358</v>
      </c>
      <c r="C9" s="96" t="s">
        <v>55</v>
      </c>
      <c r="D9" s="12">
        <f>16+5</f>
        <v>21</v>
      </c>
      <c r="E9" s="60">
        <v>20</v>
      </c>
      <c r="F9" s="47">
        <v>24</v>
      </c>
      <c r="G9" s="161"/>
      <c r="H9" s="143">
        <f t="shared" si="0"/>
        <v>65</v>
      </c>
    </row>
    <row r="10" spans="1:8" ht="19.5" customHeight="1">
      <c r="A10" s="100">
        <v>9</v>
      </c>
      <c r="B10" s="95" t="s">
        <v>359</v>
      </c>
      <c r="C10" s="96" t="s">
        <v>7</v>
      </c>
      <c r="D10" s="12">
        <v>21</v>
      </c>
      <c r="E10" s="60">
        <v>23</v>
      </c>
      <c r="F10" s="47">
        <v>6</v>
      </c>
      <c r="G10" s="161"/>
      <c r="H10" s="143">
        <f t="shared" si="0"/>
        <v>50</v>
      </c>
    </row>
    <row r="11" spans="1:8" ht="19.5" customHeight="1">
      <c r="A11" s="100">
        <v>10</v>
      </c>
      <c r="B11" s="95" t="s">
        <v>360</v>
      </c>
      <c r="C11" s="96" t="s">
        <v>57</v>
      </c>
      <c r="D11" s="12">
        <v>14</v>
      </c>
      <c r="E11" s="60">
        <f>76+44+72+32+25+28+30</f>
        <v>307</v>
      </c>
      <c r="F11" s="215">
        <f>30+140+320</f>
        <v>490</v>
      </c>
      <c r="G11" s="161"/>
      <c r="H11" s="143">
        <f t="shared" si="0"/>
        <v>811</v>
      </c>
    </row>
    <row r="12" spans="1:8" ht="19.5" customHeight="1">
      <c r="A12" s="100">
        <v>11</v>
      </c>
      <c r="B12" s="95" t="s">
        <v>49</v>
      </c>
      <c r="C12" s="96" t="s">
        <v>31</v>
      </c>
      <c r="D12" s="12">
        <v>33</v>
      </c>
      <c r="E12" s="60">
        <v>26</v>
      </c>
      <c r="F12" s="47">
        <f>45+14</f>
        <v>59</v>
      </c>
      <c r="G12" s="161"/>
      <c r="H12" s="143">
        <f t="shared" si="0"/>
        <v>118</v>
      </c>
    </row>
    <row r="13" spans="1:8" ht="19.5" customHeight="1">
      <c r="A13" s="100">
        <v>12</v>
      </c>
      <c r="B13" s="95" t="s">
        <v>446</v>
      </c>
      <c r="C13" s="96" t="s">
        <v>66</v>
      </c>
      <c r="D13" s="12">
        <v>24</v>
      </c>
      <c r="E13" s="60">
        <v>80</v>
      </c>
      <c r="F13" s="215">
        <v>130</v>
      </c>
      <c r="G13" s="161"/>
      <c r="H13" s="143">
        <f t="shared" si="0"/>
        <v>234</v>
      </c>
    </row>
    <row r="14" spans="1:8" ht="19.5" customHeight="1">
      <c r="A14" s="100">
        <v>13</v>
      </c>
      <c r="B14" s="95" t="s">
        <v>136</v>
      </c>
      <c r="C14" s="96" t="s">
        <v>17</v>
      </c>
      <c r="D14" s="12">
        <v>28</v>
      </c>
      <c r="E14" s="60">
        <v>34</v>
      </c>
      <c r="F14" s="47">
        <v>26</v>
      </c>
      <c r="G14" s="161"/>
      <c r="H14" s="143">
        <f t="shared" si="0"/>
        <v>88</v>
      </c>
    </row>
    <row r="15" spans="1:8" ht="19.5" customHeight="1">
      <c r="A15" s="100">
        <v>14</v>
      </c>
      <c r="B15" s="95" t="s">
        <v>362</v>
      </c>
      <c r="C15" s="96" t="s">
        <v>70</v>
      </c>
      <c r="D15" s="12">
        <v>49</v>
      </c>
      <c r="E15" s="60">
        <f>86+33</f>
        <v>119</v>
      </c>
      <c r="F15" s="47">
        <v>50</v>
      </c>
      <c r="G15" s="161"/>
      <c r="H15" s="143">
        <f t="shared" si="0"/>
        <v>218</v>
      </c>
    </row>
    <row r="16" spans="1:8" ht="19.5" customHeight="1">
      <c r="A16" s="100">
        <v>15</v>
      </c>
      <c r="B16" s="95" t="s">
        <v>189</v>
      </c>
      <c r="C16" s="96" t="s">
        <v>11</v>
      </c>
      <c r="D16" s="12">
        <v>0</v>
      </c>
      <c r="E16" s="60">
        <v>0</v>
      </c>
      <c r="F16" s="47">
        <v>67</v>
      </c>
      <c r="G16" s="161"/>
      <c r="H16" s="143">
        <f t="shared" si="0"/>
        <v>67</v>
      </c>
    </row>
    <row r="17" spans="1:8" ht="19.5" customHeight="1">
      <c r="A17" s="100">
        <v>16</v>
      </c>
      <c r="B17" s="95" t="s">
        <v>92</v>
      </c>
      <c r="C17" s="96" t="s">
        <v>31</v>
      </c>
      <c r="D17" s="12">
        <v>49</v>
      </c>
      <c r="E17" s="60">
        <v>111</v>
      </c>
      <c r="F17" s="47">
        <v>38</v>
      </c>
      <c r="G17" s="161"/>
      <c r="H17" s="143">
        <f t="shared" si="0"/>
        <v>198</v>
      </c>
    </row>
    <row r="18" spans="1:8" ht="19.5" customHeight="1">
      <c r="A18" s="100">
        <v>17</v>
      </c>
      <c r="B18" s="95" t="s">
        <v>363</v>
      </c>
      <c r="C18" s="96" t="s">
        <v>41</v>
      </c>
      <c r="D18" s="188">
        <v>20</v>
      </c>
      <c r="E18" s="60">
        <v>18</v>
      </c>
      <c r="F18" s="47">
        <v>16</v>
      </c>
      <c r="G18" s="161"/>
      <c r="H18" s="143">
        <f t="shared" si="0"/>
        <v>54</v>
      </c>
    </row>
    <row r="19" spans="1:8" ht="19.5" customHeight="1">
      <c r="A19" s="100">
        <v>18</v>
      </c>
      <c r="B19" s="95" t="s">
        <v>404</v>
      </c>
      <c r="C19" s="96" t="s">
        <v>59</v>
      </c>
      <c r="D19" s="12">
        <v>0</v>
      </c>
      <c r="E19" s="60">
        <v>0</v>
      </c>
      <c r="F19" s="47">
        <v>11</v>
      </c>
      <c r="G19" s="161"/>
      <c r="H19" s="143">
        <f t="shared" si="0"/>
        <v>11</v>
      </c>
    </row>
    <row r="20" spans="1:8" ht="19.5" customHeight="1">
      <c r="A20" s="100">
        <v>19</v>
      </c>
      <c r="B20" s="95" t="s">
        <v>364</v>
      </c>
      <c r="C20" s="96" t="s">
        <v>365</v>
      </c>
      <c r="D20" s="12">
        <f>52+73+3</f>
        <v>128</v>
      </c>
      <c r="E20" s="60">
        <f>24+25+32+58+52</f>
        <v>191</v>
      </c>
      <c r="F20" s="47">
        <v>60</v>
      </c>
      <c r="G20" s="161"/>
      <c r="H20" s="143">
        <f t="shared" si="0"/>
        <v>379</v>
      </c>
    </row>
    <row r="21" spans="1:8" ht="19.5" customHeight="1">
      <c r="A21" s="100">
        <v>20</v>
      </c>
      <c r="B21" s="95" t="s">
        <v>366</v>
      </c>
      <c r="C21" s="96" t="s">
        <v>95</v>
      </c>
      <c r="D21" s="12">
        <v>42</v>
      </c>
      <c r="E21" s="60">
        <v>57</v>
      </c>
      <c r="F21" s="47">
        <v>18</v>
      </c>
      <c r="G21" s="161"/>
      <c r="H21" s="143">
        <f t="shared" si="0"/>
        <v>117</v>
      </c>
    </row>
    <row r="22" spans="1:8" ht="19.5" customHeight="1">
      <c r="A22" s="8">
        <v>21</v>
      </c>
      <c r="B22" s="95" t="s">
        <v>367</v>
      </c>
      <c r="C22" s="96" t="s">
        <v>57</v>
      </c>
      <c r="D22" s="12">
        <v>22</v>
      </c>
      <c r="E22" s="60">
        <v>21</v>
      </c>
      <c r="F22" s="47">
        <v>5</v>
      </c>
      <c r="G22" s="161"/>
      <c r="H22" s="143">
        <f t="shared" si="0"/>
        <v>48</v>
      </c>
    </row>
    <row r="23" spans="1:8" ht="19.5" customHeight="1" thickBot="1">
      <c r="A23" s="101">
        <v>22</v>
      </c>
      <c r="B23" s="97" t="s">
        <v>368</v>
      </c>
      <c r="C23" s="98" t="s">
        <v>369</v>
      </c>
      <c r="D23" s="102">
        <v>0</v>
      </c>
      <c r="E23" s="103">
        <v>13</v>
      </c>
      <c r="F23" s="104">
        <v>0</v>
      </c>
      <c r="G23" s="164"/>
      <c r="H23" s="144">
        <f t="shared" si="0"/>
        <v>13</v>
      </c>
    </row>
    <row r="24" spans="1:8" ht="15.75">
      <c r="A24" s="22"/>
      <c r="B24" s="151" t="s">
        <v>457</v>
      </c>
      <c r="C24" s="153"/>
      <c r="D24" s="154"/>
      <c r="E24" s="152"/>
      <c r="F24" s="150"/>
      <c r="G24" s="150"/>
      <c r="H24" s="159">
        <f>SUM(D24:G24)</f>
        <v>0</v>
      </c>
    </row>
    <row r="25" spans="1:8" ht="16.5" thickBot="1">
      <c r="A25" s="22"/>
      <c r="B25" s="151"/>
      <c r="C25" s="153"/>
      <c r="D25" s="154"/>
      <c r="E25" s="152"/>
      <c r="F25" s="150"/>
      <c r="G25" s="150"/>
      <c r="H25" s="165"/>
    </row>
    <row r="26" spans="1:8" s="53" customFormat="1" ht="16.5" thickBot="1">
      <c r="A26" s="52"/>
      <c r="B26" s="172" t="s">
        <v>351</v>
      </c>
      <c r="D26" s="19">
        <f>SUM(D2:D23)</f>
        <v>644</v>
      </c>
      <c r="E26" s="19">
        <f>SUM(E2:E23)</f>
        <v>1426</v>
      </c>
      <c r="F26" s="50">
        <f>SUM(F2:F23)</f>
        <v>1758</v>
      </c>
      <c r="G26" s="50">
        <f>SUM(G2:G23)</f>
        <v>0</v>
      </c>
      <c r="H26" s="171">
        <f>SUM(H2:H24)</f>
        <v>3828</v>
      </c>
    </row>
    <row r="27" ht="12.75">
      <c r="H27" s="21"/>
    </row>
    <row r="28" ht="12.75">
      <c r="D28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0" r:id="rId1"/>
  <headerFooter alignWithMargins="0">
    <oddHeader>&amp;C&amp;"Arial,Tučné"&amp;16Sběr 2008 - 2009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1" sqref="F11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101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370</v>
      </c>
      <c r="C2" s="94" t="s">
        <v>110</v>
      </c>
      <c r="D2" s="11">
        <v>4</v>
      </c>
      <c r="E2" s="59">
        <v>6</v>
      </c>
      <c r="F2" s="46">
        <v>27</v>
      </c>
      <c r="G2" s="163"/>
      <c r="H2" s="142">
        <f>SUM(D2:G2)</f>
        <v>37</v>
      </c>
    </row>
    <row r="3" spans="1:8" ht="19.5" customHeight="1">
      <c r="A3" s="100">
        <v>2</v>
      </c>
      <c r="B3" s="95" t="s">
        <v>225</v>
      </c>
      <c r="C3" s="96" t="s">
        <v>41</v>
      </c>
      <c r="D3" s="12">
        <v>14</v>
      </c>
      <c r="E3" s="60">
        <v>21</v>
      </c>
      <c r="F3" s="47">
        <v>14</v>
      </c>
      <c r="G3" s="161"/>
      <c r="H3" s="143">
        <f aca="true" t="shared" si="0" ref="H3:H22">SUM(D3:G3)</f>
        <v>49</v>
      </c>
    </row>
    <row r="4" spans="1:8" ht="19.5" customHeight="1">
      <c r="A4" s="100">
        <v>3</v>
      </c>
      <c r="B4" s="95" t="s">
        <v>371</v>
      </c>
      <c r="C4" s="96" t="s">
        <v>24</v>
      </c>
      <c r="D4" s="12">
        <v>0</v>
      </c>
      <c r="E4" s="60">
        <v>0</v>
      </c>
      <c r="F4" s="47">
        <v>0</v>
      </c>
      <c r="G4" s="161"/>
      <c r="H4" s="143">
        <f t="shared" si="0"/>
        <v>0</v>
      </c>
    </row>
    <row r="5" spans="1:8" ht="19.5" customHeight="1">
      <c r="A5" s="100">
        <v>4</v>
      </c>
      <c r="B5" s="95" t="s">
        <v>373</v>
      </c>
      <c r="C5" s="96" t="s">
        <v>48</v>
      </c>
      <c r="D5" s="12">
        <v>77</v>
      </c>
      <c r="E5" s="60">
        <v>0</v>
      </c>
      <c r="F5" s="47">
        <v>14</v>
      </c>
      <c r="G5" s="161"/>
      <c r="H5" s="143">
        <f t="shared" si="0"/>
        <v>91</v>
      </c>
    </row>
    <row r="6" spans="1:8" ht="19.5" customHeight="1">
      <c r="A6" s="100">
        <v>5</v>
      </c>
      <c r="B6" s="95" t="s">
        <v>374</v>
      </c>
      <c r="C6" s="96" t="s">
        <v>13</v>
      </c>
      <c r="D6" s="12">
        <v>13</v>
      </c>
      <c r="E6" s="60">
        <v>15</v>
      </c>
      <c r="F6" s="47">
        <v>10</v>
      </c>
      <c r="G6" s="161"/>
      <c r="H6" s="143">
        <f t="shared" si="0"/>
        <v>38</v>
      </c>
    </row>
    <row r="7" spans="1:8" ht="19.5" customHeight="1">
      <c r="A7" s="100">
        <v>6</v>
      </c>
      <c r="B7" s="95" t="s">
        <v>375</v>
      </c>
      <c r="C7" s="96" t="s">
        <v>95</v>
      </c>
      <c r="D7" s="12">
        <v>2</v>
      </c>
      <c r="E7" s="60">
        <v>10</v>
      </c>
      <c r="F7" s="47">
        <v>12</v>
      </c>
      <c r="G7" s="161"/>
      <c r="H7" s="143">
        <f t="shared" si="0"/>
        <v>24</v>
      </c>
    </row>
    <row r="8" spans="1:8" ht="19.5" customHeight="1">
      <c r="A8" s="100">
        <v>7</v>
      </c>
      <c r="B8" s="95" t="s">
        <v>382</v>
      </c>
      <c r="C8" s="96" t="s">
        <v>48</v>
      </c>
      <c r="D8" s="12">
        <v>50</v>
      </c>
      <c r="E8" s="60">
        <v>0</v>
      </c>
      <c r="F8" s="47">
        <v>0</v>
      </c>
      <c r="G8" s="161"/>
      <c r="H8" s="143">
        <f t="shared" si="0"/>
        <v>50</v>
      </c>
    </row>
    <row r="9" spans="1:8" ht="19.5" customHeight="1">
      <c r="A9" s="100">
        <v>8</v>
      </c>
      <c r="B9" s="95" t="s">
        <v>131</v>
      </c>
      <c r="C9" s="96" t="s">
        <v>70</v>
      </c>
      <c r="D9" s="12">
        <v>36</v>
      </c>
      <c r="E9" s="60">
        <v>56</v>
      </c>
      <c r="F9" s="47">
        <v>23</v>
      </c>
      <c r="G9" s="161"/>
      <c r="H9" s="143">
        <f t="shared" si="0"/>
        <v>115</v>
      </c>
    </row>
    <row r="10" spans="1:8" ht="19.5" customHeight="1">
      <c r="A10" s="100">
        <v>9</v>
      </c>
      <c r="B10" s="95" t="s">
        <v>447</v>
      </c>
      <c r="C10" s="96" t="s">
        <v>31</v>
      </c>
      <c r="D10" s="12">
        <v>0</v>
      </c>
      <c r="E10" s="60">
        <v>0</v>
      </c>
      <c r="F10" s="47">
        <v>52</v>
      </c>
      <c r="G10" s="161"/>
      <c r="H10" s="143">
        <f t="shared" si="0"/>
        <v>52</v>
      </c>
    </row>
    <row r="11" spans="1:8" ht="19.5" customHeight="1">
      <c r="A11" s="100">
        <v>10</v>
      </c>
      <c r="B11" s="95" t="s">
        <v>376</v>
      </c>
      <c r="C11" s="96" t="s">
        <v>48</v>
      </c>
      <c r="D11" s="12">
        <f>44+62+36</f>
        <v>142</v>
      </c>
      <c r="E11" s="60">
        <f>51+70</f>
        <v>121</v>
      </c>
      <c r="F11" s="47">
        <v>72</v>
      </c>
      <c r="G11" s="161"/>
      <c r="H11" s="143">
        <f t="shared" si="0"/>
        <v>335</v>
      </c>
    </row>
    <row r="12" spans="1:8" ht="19.5" customHeight="1">
      <c r="A12" s="100">
        <v>11</v>
      </c>
      <c r="B12" s="95" t="s">
        <v>377</v>
      </c>
      <c r="C12" s="96" t="s">
        <v>24</v>
      </c>
      <c r="D12" s="12">
        <v>4</v>
      </c>
      <c r="E12" s="60">
        <v>5</v>
      </c>
      <c r="F12" s="47">
        <v>22</v>
      </c>
      <c r="G12" s="161"/>
      <c r="H12" s="143">
        <f t="shared" si="0"/>
        <v>31</v>
      </c>
    </row>
    <row r="13" spans="1:8" ht="19.5" customHeight="1">
      <c r="A13" s="100">
        <v>12</v>
      </c>
      <c r="B13" s="95" t="s">
        <v>378</v>
      </c>
      <c r="C13" s="96" t="s">
        <v>70</v>
      </c>
      <c r="D13" s="12">
        <v>23</v>
      </c>
      <c r="E13" s="60">
        <v>2</v>
      </c>
      <c r="F13" s="47">
        <v>47</v>
      </c>
      <c r="G13" s="161"/>
      <c r="H13" s="143">
        <f t="shared" si="0"/>
        <v>72</v>
      </c>
    </row>
    <row r="14" spans="1:8" ht="19.5" customHeight="1">
      <c r="A14" s="100">
        <v>13</v>
      </c>
      <c r="B14" s="95" t="s">
        <v>456</v>
      </c>
      <c r="C14" s="96" t="s">
        <v>372</v>
      </c>
      <c r="D14" s="188">
        <f>130+100+120</f>
        <v>350</v>
      </c>
      <c r="E14" s="60">
        <f>60+180+120+100</f>
        <v>460</v>
      </c>
      <c r="F14" s="215">
        <f>180+100</f>
        <v>280</v>
      </c>
      <c r="G14" s="161"/>
      <c r="H14" s="143">
        <f t="shared" si="0"/>
        <v>1090</v>
      </c>
    </row>
    <row r="15" spans="1:8" ht="19.5" customHeight="1">
      <c r="A15" s="100">
        <v>14</v>
      </c>
      <c r="B15" s="95" t="s">
        <v>396</v>
      </c>
      <c r="C15" s="96" t="s">
        <v>361</v>
      </c>
      <c r="D15" s="12">
        <v>13</v>
      </c>
      <c r="E15" s="60">
        <v>0</v>
      </c>
      <c r="F15" s="47">
        <v>0</v>
      </c>
      <c r="G15" s="161"/>
      <c r="H15" s="143">
        <f t="shared" si="0"/>
        <v>13</v>
      </c>
    </row>
    <row r="16" spans="1:8" ht="19.5" customHeight="1">
      <c r="A16" s="100">
        <v>15</v>
      </c>
      <c r="B16" s="95" t="s">
        <v>379</v>
      </c>
      <c r="C16" s="96" t="s">
        <v>35</v>
      </c>
      <c r="D16" s="12">
        <v>0</v>
      </c>
      <c r="E16" s="60">
        <v>0</v>
      </c>
      <c r="F16" s="47">
        <v>40</v>
      </c>
      <c r="G16" s="161"/>
      <c r="H16" s="143">
        <f t="shared" si="0"/>
        <v>40</v>
      </c>
    </row>
    <row r="17" spans="1:8" ht="19.5" customHeight="1">
      <c r="A17" s="100">
        <v>16</v>
      </c>
      <c r="B17" s="95" t="s">
        <v>380</v>
      </c>
      <c r="C17" s="96" t="s">
        <v>44</v>
      </c>
      <c r="D17" s="12">
        <v>0</v>
      </c>
      <c r="E17" s="60">
        <v>18</v>
      </c>
      <c r="F17" s="47">
        <v>0</v>
      </c>
      <c r="G17" s="161"/>
      <c r="H17" s="143">
        <f t="shared" si="0"/>
        <v>18</v>
      </c>
    </row>
    <row r="18" spans="1:8" ht="19.5" customHeight="1">
      <c r="A18" s="100">
        <v>17</v>
      </c>
      <c r="B18" s="95" t="s">
        <v>381</v>
      </c>
      <c r="C18" s="96" t="s">
        <v>50</v>
      </c>
      <c r="D18" s="12">
        <v>7</v>
      </c>
      <c r="E18" s="60">
        <v>50</v>
      </c>
      <c r="F18" s="47">
        <v>0</v>
      </c>
      <c r="G18" s="161"/>
      <c r="H18" s="143">
        <f t="shared" si="0"/>
        <v>57</v>
      </c>
    </row>
    <row r="19" spans="1:8" ht="19.5" customHeight="1">
      <c r="A19" s="100">
        <v>18</v>
      </c>
      <c r="B19" s="95" t="s">
        <v>383</v>
      </c>
      <c r="C19" s="96" t="s">
        <v>9</v>
      </c>
      <c r="D19" s="12">
        <v>68</v>
      </c>
      <c r="E19" s="60">
        <v>120</v>
      </c>
      <c r="F19" s="47">
        <v>40</v>
      </c>
      <c r="G19" s="161"/>
      <c r="H19" s="143">
        <f t="shared" si="0"/>
        <v>228</v>
      </c>
    </row>
    <row r="20" spans="1:8" ht="19.5" customHeight="1">
      <c r="A20" s="100">
        <v>19</v>
      </c>
      <c r="B20" s="95" t="s">
        <v>364</v>
      </c>
      <c r="C20" s="96" t="s">
        <v>17</v>
      </c>
      <c r="D20" s="12">
        <f>61+65+51</f>
        <v>177</v>
      </c>
      <c r="E20" s="60">
        <f>46+62+30+40</f>
        <v>178</v>
      </c>
      <c r="F20" s="47">
        <v>76</v>
      </c>
      <c r="G20" s="161"/>
      <c r="H20" s="143">
        <f t="shared" si="0"/>
        <v>431</v>
      </c>
    </row>
    <row r="21" spans="1:8" ht="19.5" customHeight="1">
      <c r="A21" s="100">
        <v>20</v>
      </c>
      <c r="B21" s="95" t="s">
        <v>384</v>
      </c>
      <c r="C21" s="96" t="s">
        <v>21</v>
      </c>
      <c r="D21" s="12">
        <v>0</v>
      </c>
      <c r="E21" s="60">
        <v>8</v>
      </c>
      <c r="F21" s="47">
        <v>0</v>
      </c>
      <c r="G21" s="161"/>
      <c r="H21" s="143">
        <f t="shared" si="0"/>
        <v>8</v>
      </c>
    </row>
    <row r="22" spans="1:8" ht="19.5" customHeight="1" thickBot="1">
      <c r="A22" s="105">
        <v>21</v>
      </c>
      <c r="B22" s="97" t="s">
        <v>385</v>
      </c>
      <c r="C22" s="98" t="s">
        <v>241</v>
      </c>
      <c r="D22" s="14">
        <v>7</v>
      </c>
      <c r="E22" s="61">
        <v>6</v>
      </c>
      <c r="F22" s="51">
        <v>0</v>
      </c>
      <c r="G22" s="162"/>
      <c r="H22" s="144">
        <f t="shared" si="0"/>
        <v>13</v>
      </c>
    </row>
    <row r="23" spans="1:8" ht="15.75">
      <c r="A23" s="22"/>
      <c r="B23" s="151" t="s">
        <v>457</v>
      </c>
      <c r="C23" s="147"/>
      <c r="D23" s="148">
        <v>27</v>
      </c>
      <c r="E23" s="191">
        <v>9</v>
      </c>
      <c r="F23" s="150"/>
      <c r="G23" s="150"/>
      <c r="H23" s="148">
        <f>SUM(D23:G23)</f>
        <v>36</v>
      </c>
    </row>
    <row r="24" spans="4:7" ht="15.75" thickBot="1">
      <c r="D24" s="18"/>
      <c r="E24" s="15"/>
      <c r="F24" s="49"/>
      <c r="G24" s="49"/>
    </row>
    <row r="25" spans="1:8" s="53" customFormat="1" ht="16.5" thickBot="1">
      <c r="A25" s="52"/>
      <c r="B25" s="172" t="s">
        <v>351</v>
      </c>
      <c r="D25" s="19">
        <f>SUM(D2:D23)</f>
        <v>1014</v>
      </c>
      <c r="E25" s="19">
        <f>SUM(E2:E23)</f>
        <v>1085</v>
      </c>
      <c r="F25" s="50">
        <f>SUM(F2:F22)</f>
        <v>729</v>
      </c>
      <c r="G25" s="50">
        <f>SUM(G2:G23)</f>
        <v>0</v>
      </c>
      <c r="H25" s="171">
        <f>SUM(H2:H24)</f>
        <v>2828</v>
      </c>
    </row>
    <row r="27" spans="2:4" ht="12.75">
      <c r="B27" s="20"/>
      <c r="D27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4" r:id="rId1"/>
  <headerFooter alignWithMargins="0">
    <oddHeader>&amp;C&amp;"Arial,Tučné"&amp;16Sběr 2008 - 2009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F22" sqref="F22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7" width="12.7109375" style="1" customWidth="1"/>
    <col min="8" max="8" width="15.7109375" style="0" customWidth="1"/>
  </cols>
  <sheetData>
    <row r="1" spans="1:8" ht="24.75" customHeight="1" thickBot="1">
      <c r="A1" s="3" t="s">
        <v>124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1</v>
      </c>
      <c r="C2" s="94" t="s">
        <v>2</v>
      </c>
      <c r="D2" s="11">
        <f>85+14</f>
        <v>99</v>
      </c>
      <c r="E2" s="59">
        <f>103+127+79</f>
        <v>309</v>
      </c>
      <c r="F2" s="46">
        <v>86</v>
      </c>
      <c r="G2" s="163"/>
      <c r="H2" s="142">
        <f>SUM(D2:G2)</f>
        <v>494</v>
      </c>
    </row>
    <row r="3" spans="1:8" ht="19.5" customHeight="1">
      <c r="A3" s="100">
        <v>2</v>
      </c>
      <c r="B3" s="95" t="s">
        <v>3</v>
      </c>
      <c r="C3" s="96" t="s">
        <v>4</v>
      </c>
      <c r="D3" s="12">
        <v>8</v>
      </c>
      <c r="E3" s="60">
        <v>8</v>
      </c>
      <c r="F3" s="47">
        <v>12</v>
      </c>
      <c r="G3" s="161"/>
      <c r="H3" s="143">
        <f aca="true" t="shared" si="0" ref="H3:H21">SUM(D3:G3)</f>
        <v>28</v>
      </c>
    </row>
    <row r="4" spans="1:8" ht="19.5" customHeight="1">
      <c r="A4" s="100">
        <v>3</v>
      </c>
      <c r="B4" s="95" t="s">
        <v>5</v>
      </c>
      <c r="C4" s="96" t="s">
        <v>6</v>
      </c>
      <c r="D4" s="12">
        <f>25+32+30</f>
        <v>87</v>
      </c>
      <c r="E4" s="60">
        <v>83</v>
      </c>
      <c r="F4" s="215">
        <v>80</v>
      </c>
      <c r="G4" s="161"/>
      <c r="H4" s="143">
        <f t="shared" si="0"/>
        <v>250</v>
      </c>
    </row>
    <row r="5" spans="1:8" ht="19.5" customHeight="1">
      <c r="A5" s="100">
        <v>4</v>
      </c>
      <c r="B5" s="95" t="s">
        <v>8</v>
      </c>
      <c r="C5" s="96" t="s">
        <v>9</v>
      </c>
      <c r="D5" s="12">
        <v>4</v>
      </c>
      <c r="E5" s="60">
        <v>0</v>
      </c>
      <c r="F5" s="47">
        <v>6</v>
      </c>
      <c r="G5" s="161"/>
      <c r="H5" s="143">
        <f t="shared" si="0"/>
        <v>10</v>
      </c>
    </row>
    <row r="6" spans="1:8" ht="19.5" customHeight="1">
      <c r="A6" s="100">
        <v>5</v>
      </c>
      <c r="B6" s="95" t="s">
        <v>10</v>
      </c>
      <c r="C6" s="96" t="s">
        <v>11</v>
      </c>
      <c r="D6" s="12">
        <v>10</v>
      </c>
      <c r="E6" s="60">
        <v>29</v>
      </c>
      <c r="F6" s="47">
        <v>26</v>
      </c>
      <c r="G6" s="161"/>
      <c r="H6" s="143">
        <f t="shared" si="0"/>
        <v>65</v>
      </c>
    </row>
    <row r="7" spans="1:8" ht="19.5" customHeight="1">
      <c r="A7" s="100">
        <v>6</v>
      </c>
      <c r="B7" s="95" t="s">
        <v>12</v>
      </c>
      <c r="C7" s="96" t="s">
        <v>13</v>
      </c>
      <c r="D7" s="12">
        <v>0</v>
      </c>
      <c r="E7" s="60">
        <v>20</v>
      </c>
      <c r="F7" s="47">
        <v>270</v>
      </c>
      <c r="G7" s="161"/>
      <c r="H7" s="143">
        <f t="shared" si="0"/>
        <v>290</v>
      </c>
    </row>
    <row r="8" spans="1:8" ht="19.5" customHeight="1">
      <c r="A8" s="100">
        <v>7</v>
      </c>
      <c r="B8" s="95" t="s">
        <v>14</v>
      </c>
      <c r="C8" s="96" t="s">
        <v>15</v>
      </c>
      <c r="D8" s="12">
        <v>4</v>
      </c>
      <c r="E8" s="60">
        <v>9</v>
      </c>
      <c r="F8" s="47">
        <v>28</v>
      </c>
      <c r="G8" s="161"/>
      <c r="H8" s="143">
        <f t="shared" si="0"/>
        <v>41</v>
      </c>
    </row>
    <row r="9" spans="1:8" ht="19.5" customHeight="1">
      <c r="A9" s="100">
        <v>8</v>
      </c>
      <c r="B9" s="95" t="s">
        <v>16</v>
      </c>
      <c r="C9" s="96" t="s">
        <v>17</v>
      </c>
      <c r="D9" s="12">
        <v>50</v>
      </c>
      <c r="E9" s="60">
        <v>8</v>
      </c>
      <c r="F9" s="47">
        <v>0</v>
      </c>
      <c r="G9" s="161"/>
      <c r="H9" s="143">
        <f t="shared" si="0"/>
        <v>58</v>
      </c>
    </row>
    <row r="10" spans="1:8" ht="19.5" customHeight="1">
      <c r="A10" s="100">
        <v>9</v>
      </c>
      <c r="B10" s="95" t="s">
        <v>18</v>
      </c>
      <c r="C10" s="96" t="s">
        <v>19</v>
      </c>
      <c r="D10" s="12">
        <v>5</v>
      </c>
      <c r="E10" s="60">
        <v>0</v>
      </c>
      <c r="F10" s="47">
        <v>0</v>
      </c>
      <c r="G10" s="161"/>
      <c r="H10" s="143">
        <f t="shared" si="0"/>
        <v>5</v>
      </c>
    </row>
    <row r="11" spans="1:8" ht="19.5" customHeight="1">
      <c r="A11" s="100">
        <v>10</v>
      </c>
      <c r="B11" s="95" t="s">
        <v>20</v>
      </c>
      <c r="C11" s="96" t="s">
        <v>21</v>
      </c>
      <c r="D11" s="12">
        <v>4</v>
      </c>
      <c r="E11" s="60">
        <v>11</v>
      </c>
      <c r="F11" s="47">
        <v>21</v>
      </c>
      <c r="G11" s="161"/>
      <c r="H11" s="143">
        <f t="shared" si="0"/>
        <v>36</v>
      </c>
    </row>
    <row r="12" spans="1:8" ht="19.5" customHeight="1">
      <c r="A12" s="100">
        <v>11</v>
      </c>
      <c r="B12" s="95" t="s">
        <v>22</v>
      </c>
      <c r="C12" s="96" t="s">
        <v>23</v>
      </c>
      <c r="D12" s="12">
        <v>48</v>
      </c>
      <c r="E12" s="60">
        <v>0</v>
      </c>
      <c r="F12" s="47">
        <v>0</v>
      </c>
      <c r="G12" s="161"/>
      <c r="H12" s="143">
        <f t="shared" si="0"/>
        <v>48</v>
      </c>
    </row>
    <row r="13" spans="1:8" ht="19.5" customHeight="1">
      <c r="A13" s="100">
        <v>12</v>
      </c>
      <c r="B13" s="95" t="s">
        <v>386</v>
      </c>
      <c r="C13" s="96" t="s">
        <v>387</v>
      </c>
      <c r="D13" s="12">
        <v>0</v>
      </c>
      <c r="E13" s="60">
        <v>0</v>
      </c>
      <c r="F13" s="47">
        <v>0</v>
      </c>
      <c r="G13" s="161"/>
      <c r="H13" s="143">
        <f t="shared" si="0"/>
        <v>0</v>
      </c>
    </row>
    <row r="14" spans="1:8" ht="19.5" customHeight="1">
      <c r="A14" s="100">
        <v>13</v>
      </c>
      <c r="B14" s="95" t="s">
        <v>388</v>
      </c>
      <c r="C14" s="96" t="s">
        <v>448</v>
      </c>
      <c r="D14" s="12">
        <v>10</v>
      </c>
      <c r="E14" s="60">
        <v>6</v>
      </c>
      <c r="F14" s="47">
        <v>17</v>
      </c>
      <c r="G14" s="161"/>
      <c r="H14" s="143">
        <f t="shared" si="0"/>
        <v>33</v>
      </c>
    </row>
    <row r="15" spans="1:8" ht="19.5" customHeight="1">
      <c r="A15" s="100">
        <v>14</v>
      </c>
      <c r="B15" s="95" t="s">
        <v>25</v>
      </c>
      <c r="C15" s="96" t="s">
        <v>26</v>
      </c>
      <c r="D15" s="12">
        <v>15</v>
      </c>
      <c r="E15" s="60">
        <v>19</v>
      </c>
      <c r="F15" s="47">
        <v>13</v>
      </c>
      <c r="G15" s="161"/>
      <c r="H15" s="143">
        <f t="shared" si="0"/>
        <v>47</v>
      </c>
    </row>
    <row r="16" spans="1:8" ht="19.5" customHeight="1">
      <c r="A16" s="100">
        <v>15</v>
      </c>
      <c r="B16" s="95" t="s">
        <v>27</v>
      </c>
      <c r="C16" s="96" t="s">
        <v>28</v>
      </c>
      <c r="D16" s="12">
        <v>5</v>
      </c>
      <c r="E16" s="60">
        <v>2</v>
      </c>
      <c r="F16" s="47">
        <v>0</v>
      </c>
      <c r="G16" s="161"/>
      <c r="H16" s="143">
        <f t="shared" si="0"/>
        <v>7</v>
      </c>
    </row>
    <row r="17" spans="1:8" ht="19.5" customHeight="1">
      <c r="A17" s="100">
        <v>16</v>
      </c>
      <c r="B17" s="95" t="s">
        <v>449</v>
      </c>
      <c r="C17" s="96" t="s">
        <v>21</v>
      </c>
      <c r="D17" s="12">
        <v>0</v>
      </c>
      <c r="E17" s="60">
        <v>5</v>
      </c>
      <c r="F17" s="47">
        <v>0</v>
      </c>
      <c r="G17" s="161"/>
      <c r="H17" s="143">
        <f t="shared" si="0"/>
        <v>5</v>
      </c>
    </row>
    <row r="18" spans="1:8" ht="19.5" customHeight="1">
      <c r="A18" s="100">
        <v>17</v>
      </c>
      <c r="B18" s="95" t="s">
        <v>29</v>
      </c>
      <c r="C18" s="96" t="s">
        <v>30</v>
      </c>
      <c r="D18" s="12">
        <v>6</v>
      </c>
      <c r="E18" s="60">
        <v>0</v>
      </c>
      <c r="F18" s="47">
        <v>10</v>
      </c>
      <c r="G18" s="161"/>
      <c r="H18" s="143">
        <f t="shared" si="0"/>
        <v>16</v>
      </c>
    </row>
    <row r="19" spans="1:8" ht="19.5" customHeight="1">
      <c r="A19" s="100">
        <v>18</v>
      </c>
      <c r="B19" s="95" t="s">
        <v>32</v>
      </c>
      <c r="C19" s="96" t="s">
        <v>33</v>
      </c>
      <c r="D19" s="12">
        <f>76+111</f>
        <v>187</v>
      </c>
      <c r="E19" s="60">
        <f>59+68</f>
        <v>127</v>
      </c>
      <c r="F19" s="47">
        <f>66+37</f>
        <v>103</v>
      </c>
      <c r="G19" s="161"/>
      <c r="H19" s="143">
        <f t="shared" si="0"/>
        <v>417</v>
      </c>
    </row>
    <row r="20" spans="1:8" ht="19.5" customHeight="1">
      <c r="A20" s="100">
        <v>19</v>
      </c>
      <c r="B20" s="95" t="s">
        <v>34</v>
      </c>
      <c r="C20" s="96" t="s">
        <v>35</v>
      </c>
      <c r="D20" s="12">
        <v>5</v>
      </c>
      <c r="E20" s="60">
        <v>6</v>
      </c>
      <c r="F20" s="47">
        <v>8</v>
      </c>
      <c r="G20" s="161"/>
      <c r="H20" s="143">
        <f t="shared" si="0"/>
        <v>19</v>
      </c>
    </row>
    <row r="21" spans="1:8" ht="19.5" customHeight="1" thickBot="1">
      <c r="A21" s="105">
        <v>20</v>
      </c>
      <c r="B21" s="97" t="s">
        <v>36</v>
      </c>
      <c r="C21" s="98" t="s">
        <v>31</v>
      </c>
      <c r="D21" s="189">
        <v>140</v>
      </c>
      <c r="E21" s="61">
        <v>120</v>
      </c>
      <c r="F21" s="51">
        <v>80</v>
      </c>
      <c r="G21" s="162"/>
      <c r="H21" s="144">
        <f t="shared" si="0"/>
        <v>340</v>
      </c>
    </row>
    <row r="22" spans="1:8" ht="15.75">
      <c r="A22" s="22"/>
      <c r="B22" s="151" t="s">
        <v>457</v>
      </c>
      <c r="C22" s="153"/>
      <c r="D22" s="154"/>
      <c r="E22" s="152"/>
      <c r="F22" s="150"/>
      <c r="G22" s="150"/>
      <c r="H22" s="159">
        <f>SUM(D22:G22)</f>
        <v>0</v>
      </c>
    </row>
    <row r="23" spans="1:8" ht="16.5" thickBot="1">
      <c r="A23" s="22"/>
      <c r="B23" s="151"/>
      <c r="C23" s="153"/>
      <c r="D23" s="154"/>
      <c r="E23" s="152"/>
      <c r="F23" s="150"/>
      <c r="G23" s="150"/>
      <c r="H23" s="153"/>
    </row>
    <row r="24" spans="1:8" s="53" customFormat="1" ht="16.5" thickBot="1">
      <c r="A24" s="52"/>
      <c r="B24" s="172" t="s">
        <v>351</v>
      </c>
      <c r="D24" s="19">
        <f>SUM(D2:D22)</f>
        <v>687</v>
      </c>
      <c r="E24" s="19">
        <f>SUM(E2:E21)</f>
        <v>762</v>
      </c>
      <c r="F24" s="50">
        <f>SUM(F2:F21)</f>
        <v>760</v>
      </c>
      <c r="G24" s="50">
        <f>SUM(G2:G22)</f>
        <v>0</v>
      </c>
      <c r="H24" s="171">
        <f>SUM(H2:H22)</f>
        <v>2209</v>
      </c>
    </row>
    <row r="26" ht="12.75">
      <c r="D26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2008 - 2009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L17" sqref="L17"/>
    </sheetView>
  </sheetViews>
  <sheetFormatPr defaultColWidth="9.140625" defaultRowHeight="12.75"/>
  <cols>
    <col min="1" max="1" width="5.140625" style="2" customWidth="1"/>
    <col min="2" max="2" width="20.140625" style="0" customWidth="1"/>
    <col min="3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352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38</v>
      </c>
      <c r="C2" s="94" t="s">
        <v>13</v>
      </c>
      <c r="D2" s="11">
        <v>0</v>
      </c>
      <c r="E2" s="59">
        <v>0</v>
      </c>
      <c r="F2" s="46">
        <v>16</v>
      </c>
      <c r="G2" s="163"/>
      <c r="H2" s="142">
        <f>SUM(D2:G2)</f>
        <v>16</v>
      </c>
    </row>
    <row r="3" spans="1:8" ht="19.5" customHeight="1">
      <c r="A3" s="100">
        <v>2</v>
      </c>
      <c r="B3" s="95" t="s">
        <v>39</v>
      </c>
      <c r="C3" s="96" t="s">
        <v>17</v>
      </c>
      <c r="D3" s="12">
        <f>67+40+67</f>
        <v>174</v>
      </c>
      <c r="E3" s="60">
        <f>187+60</f>
        <v>247</v>
      </c>
      <c r="F3" s="47">
        <f>212+30</f>
        <v>242</v>
      </c>
      <c r="G3" s="161"/>
      <c r="H3" s="143">
        <f aca="true" t="shared" si="0" ref="H3:H21">SUM(D3:G3)</f>
        <v>663</v>
      </c>
    </row>
    <row r="4" spans="1:8" ht="19.5" customHeight="1">
      <c r="A4" s="106">
        <v>3</v>
      </c>
      <c r="B4" s="95" t="s">
        <v>389</v>
      </c>
      <c r="C4" s="96" t="s">
        <v>33</v>
      </c>
      <c r="D4" s="12">
        <v>0</v>
      </c>
      <c r="E4" s="60">
        <v>45</v>
      </c>
      <c r="F4" s="47">
        <v>0</v>
      </c>
      <c r="G4" s="161"/>
      <c r="H4" s="143">
        <f t="shared" si="0"/>
        <v>45</v>
      </c>
    </row>
    <row r="5" spans="1:8" ht="19.5" customHeight="1">
      <c r="A5" s="100">
        <v>4</v>
      </c>
      <c r="B5" s="95" t="s">
        <v>40</v>
      </c>
      <c r="C5" s="96" t="s">
        <v>41</v>
      </c>
      <c r="D5" s="12">
        <v>8</v>
      </c>
      <c r="E5" s="60">
        <v>40</v>
      </c>
      <c r="F5" s="47">
        <v>18</v>
      </c>
      <c r="G5" s="161"/>
      <c r="H5" s="143">
        <f t="shared" si="0"/>
        <v>66</v>
      </c>
    </row>
    <row r="6" spans="1:8" ht="19.5" customHeight="1">
      <c r="A6" s="106">
        <v>5</v>
      </c>
      <c r="B6" s="95" t="s">
        <v>42</v>
      </c>
      <c r="C6" s="96" t="s">
        <v>31</v>
      </c>
      <c r="D6" s="188">
        <v>220</v>
      </c>
      <c r="E6" s="60">
        <f>74+76+70</f>
        <v>220</v>
      </c>
      <c r="F6" s="215">
        <f>70+500</f>
        <v>570</v>
      </c>
      <c r="G6" s="161"/>
      <c r="H6" s="143">
        <f t="shared" si="0"/>
        <v>1010</v>
      </c>
    </row>
    <row r="7" spans="1:8" ht="19.5" customHeight="1">
      <c r="A7" s="100">
        <v>6</v>
      </c>
      <c r="B7" s="95" t="s">
        <v>43</v>
      </c>
      <c r="C7" s="96" t="s">
        <v>44</v>
      </c>
      <c r="D7" s="12">
        <v>68</v>
      </c>
      <c r="E7" s="60">
        <v>39</v>
      </c>
      <c r="F7" s="47">
        <v>22</v>
      </c>
      <c r="G7" s="161"/>
      <c r="H7" s="143">
        <f t="shared" si="0"/>
        <v>129</v>
      </c>
    </row>
    <row r="8" spans="1:8" ht="19.5" customHeight="1">
      <c r="A8" s="106">
        <v>7</v>
      </c>
      <c r="B8" s="95" t="s">
        <v>45</v>
      </c>
      <c r="C8" s="96" t="s">
        <v>46</v>
      </c>
      <c r="D8" s="12">
        <v>0</v>
      </c>
      <c r="E8" s="60">
        <v>49</v>
      </c>
      <c r="F8" s="47">
        <v>0</v>
      </c>
      <c r="G8" s="161"/>
      <c r="H8" s="143">
        <f t="shared" si="0"/>
        <v>49</v>
      </c>
    </row>
    <row r="9" spans="1:8" ht="19.5" customHeight="1">
      <c r="A9" s="100">
        <v>8</v>
      </c>
      <c r="B9" s="95" t="s">
        <v>47</v>
      </c>
      <c r="C9" s="96" t="s">
        <v>48</v>
      </c>
      <c r="D9" s="12">
        <v>2</v>
      </c>
      <c r="E9" s="60">
        <v>7</v>
      </c>
      <c r="F9" s="47">
        <v>12</v>
      </c>
      <c r="G9" s="161"/>
      <c r="H9" s="143">
        <f t="shared" si="0"/>
        <v>21</v>
      </c>
    </row>
    <row r="10" spans="1:8" ht="19.5" customHeight="1">
      <c r="A10" s="106">
        <v>9</v>
      </c>
      <c r="B10" s="95" t="s">
        <v>49</v>
      </c>
      <c r="C10" s="96" t="s">
        <v>50</v>
      </c>
      <c r="D10" s="12">
        <v>15</v>
      </c>
      <c r="E10" s="60">
        <v>45</v>
      </c>
      <c r="F10" s="47">
        <v>30</v>
      </c>
      <c r="G10" s="161"/>
      <c r="H10" s="143">
        <f t="shared" si="0"/>
        <v>90</v>
      </c>
    </row>
    <row r="11" spans="1:8" ht="19.5" customHeight="1">
      <c r="A11" s="100">
        <v>10</v>
      </c>
      <c r="B11" s="95" t="s">
        <v>51</v>
      </c>
      <c r="C11" s="96" t="s">
        <v>52</v>
      </c>
      <c r="D11" s="12">
        <v>19</v>
      </c>
      <c r="E11" s="60">
        <v>42</v>
      </c>
      <c r="F11" s="47">
        <v>0</v>
      </c>
      <c r="G11" s="161"/>
      <c r="H11" s="143">
        <f t="shared" si="0"/>
        <v>61</v>
      </c>
    </row>
    <row r="12" spans="1:8" ht="19.5" customHeight="1">
      <c r="A12" s="106">
        <v>11</v>
      </c>
      <c r="B12" s="95" t="s">
        <v>54</v>
      </c>
      <c r="C12" s="96" t="s">
        <v>55</v>
      </c>
      <c r="D12" s="12">
        <v>11</v>
      </c>
      <c r="E12" s="60">
        <v>11</v>
      </c>
      <c r="F12" s="47">
        <v>8</v>
      </c>
      <c r="G12" s="161"/>
      <c r="H12" s="143">
        <f t="shared" si="0"/>
        <v>30</v>
      </c>
    </row>
    <row r="13" spans="1:8" ht="19.5" customHeight="1">
      <c r="A13" s="100">
        <v>12</v>
      </c>
      <c r="B13" s="95" t="s">
        <v>56</v>
      </c>
      <c r="C13" s="96" t="s">
        <v>57</v>
      </c>
      <c r="D13" s="12">
        <f>61+81</f>
        <v>142</v>
      </c>
      <c r="E13" s="60">
        <v>13</v>
      </c>
      <c r="F13" s="215">
        <v>580</v>
      </c>
      <c r="G13" s="161"/>
      <c r="H13" s="143">
        <f t="shared" si="0"/>
        <v>735</v>
      </c>
    </row>
    <row r="14" spans="1:8" ht="19.5" customHeight="1">
      <c r="A14" s="106">
        <v>13</v>
      </c>
      <c r="B14" s="95" t="s">
        <v>58</v>
      </c>
      <c r="C14" s="96" t="s">
        <v>59</v>
      </c>
      <c r="D14" s="12">
        <v>5</v>
      </c>
      <c r="E14" s="60">
        <v>0</v>
      </c>
      <c r="F14" s="47">
        <v>0</v>
      </c>
      <c r="G14" s="161"/>
      <c r="H14" s="143">
        <f t="shared" si="0"/>
        <v>5</v>
      </c>
    </row>
    <row r="15" spans="1:8" ht="19.5" customHeight="1">
      <c r="A15" s="100">
        <v>14</v>
      </c>
      <c r="B15" s="95" t="s">
        <v>60</v>
      </c>
      <c r="C15" s="96" t="s">
        <v>61</v>
      </c>
      <c r="D15" s="12">
        <v>6</v>
      </c>
      <c r="E15" s="60">
        <v>1</v>
      </c>
      <c r="F15" s="215">
        <v>500</v>
      </c>
      <c r="G15" s="161"/>
      <c r="H15" s="143">
        <f t="shared" si="0"/>
        <v>507</v>
      </c>
    </row>
    <row r="16" spans="1:8" ht="19.5" customHeight="1">
      <c r="A16" s="106">
        <v>15</v>
      </c>
      <c r="B16" s="95" t="s">
        <v>62</v>
      </c>
      <c r="C16" s="96" t="s">
        <v>44</v>
      </c>
      <c r="D16" s="12">
        <v>10</v>
      </c>
      <c r="E16" s="60">
        <v>1</v>
      </c>
      <c r="F16" s="47">
        <v>0</v>
      </c>
      <c r="G16" s="161"/>
      <c r="H16" s="143">
        <f t="shared" si="0"/>
        <v>11</v>
      </c>
    </row>
    <row r="17" spans="1:8" ht="19.5" customHeight="1">
      <c r="A17" s="100">
        <v>16</v>
      </c>
      <c r="B17" s="95" t="s">
        <v>63</v>
      </c>
      <c r="C17" s="96" t="s">
        <v>64</v>
      </c>
      <c r="D17" s="12">
        <v>0</v>
      </c>
      <c r="E17" s="60">
        <v>26</v>
      </c>
      <c r="F17" s="47">
        <v>0</v>
      </c>
      <c r="G17" s="161"/>
      <c r="H17" s="143">
        <f t="shared" si="0"/>
        <v>26</v>
      </c>
    </row>
    <row r="18" spans="1:8" ht="19.5" customHeight="1">
      <c r="A18" s="106">
        <v>17</v>
      </c>
      <c r="B18" s="95" t="s">
        <v>65</v>
      </c>
      <c r="C18" s="96" t="s">
        <v>66</v>
      </c>
      <c r="D18" s="12">
        <v>12</v>
      </c>
      <c r="E18" s="60">
        <v>3</v>
      </c>
      <c r="F18" s="47">
        <v>12</v>
      </c>
      <c r="G18" s="161"/>
      <c r="H18" s="143">
        <f t="shared" si="0"/>
        <v>27</v>
      </c>
    </row>
    <row r="19" spans="1:8" ht="19.5" customHeight="1">
      <c r="A19" s="106">
        <v>18</v>
      </c>
      <c r="B19" s="95" t="s">
        <v>67</v>
      </c>
      <c r="C19" s="96" t="s">
        <v>17</v>
      </c>
      <c r="D19" s="12">
        <v>7</v>
      </c>
      <c r="E19" s="60">
        <v>16</v>
      </c>
      <c r="F19" s="47">
        <v>6</v>
      </c>
      <c r="G19" s="161"/>
      <c r="H19" s="143">
        <f t="shared" si="0"/>
        <v>29</v>
      </c>
    </row>
    <row r="20" spans="1:8" ht="19.5" customHeight="1">
      <c r="A20" s="125">
        <v>19</v>
      </c>
      <c r="B20" s="126" t="s">
        <v>68</v>
      </c>
      <c r="C20" s="127" t="s">
        <v>41</v>
      </c>
      <c r="D20" s="13">
        <v>196</v>
      </c>
      <c r="E20" s="62">
        <f>29+44+63</f>
        <v>136</v>
      </c>
      <c r="F20" s="48">
        <v>124</v>
      </c>
      <c r="G20" s="166"/>
      <c r="H20" s="143">
        <f t="shared" si="0"/>
        <v>456</v>
      </c>
    </row>
    <row r="21" spans="1:8" ht="19.5" customHeight="1" thickBot="1">
      <c r="A21" s="105">
        <v>20</v>
      </c>
      <c r="B21" s="97" t="s">
        <v>455</v>
      </c>
      <c r="C21" s="98" t="s">
        <v>21</v>
      </c>
      <c r="D21" s="14">
        <v>0</v>
      </c>
      <c r="E21" s="61">
        <v>0</v>
      </c>
      <c r="F21" s="51">
        <v>0</v>
      </c>
      <c r="G21" s="162"/>
      <c r="H21" s="144">
        <f t="shared" si="0"/>
        <v>0</v>
      </c>
    </row>
    <row r="22" spans="1:8" s="147" customFormat="1" ht="15.75">
      <c r="A22" s="155"/>
      <c r="B22" s="151" t="s">
        <v>457</v>
      </c>
      <c r="D22" s="148">
        <v>31</v>
      </c>
      <c r="E22" s="191">
        <v>13</v>
      </c>
      <c r="F22" s="149">
        <v>19</v>
      </c>
      <c r="G22" s="150"/>
      <c r="H22" s="148">
        <f>SUM(D22:G22)</f>
        <v>63</v>
      </c>
    </row>
    <row r="23" spans="4:8" ht="15.75" thickBot="1">
      <c r="D23" s="18"/>
      <c r="E23" s="15"/>
      <c r="F23" s="49"/>
      <c r="G23" s="49"/>
      <c r="H23" s="21"/>
    </row>
    <row r="24" spans="1:8" s="53" customFormat="1" ht="16.5" thickBot="1">
      <c r="A24" s="52"/>
      <c r="B24" s="172" t="s">
        <v>351</v>
      </c>
      <c r="D24" s="19">
        <f>SUM(D2:D22)</f>
        <v>926</v>
      </c>
      <c r="E24" s="19">
        <f>SUM(E2:E22)</f>
        <v>954</v>
      </c>
      <c r="F24" s="50">
        <f>SUM(F2:F22)</f>
        <v>2159</v>
      </c>
      <c r="G24" s="50">
        <f>SUM(G2:G22)</f>
        <v>0</v>
      </c>
      <c r="H24" s="171">
        <f>SUM(H2:H22)</f>
        <v>4039</v>
      </c>
    </row>
    <row r="25" ht="12.75">
      <c r="H25" s="21"/>
    </row>
    <row r="26" spans="2:8" ht="12.75">
      <c r="B26" s="20"/>
      <c r="D26" s="15"/>
      <c r="H26" s="2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8" r:id="rId1"/>
  <headerFooter alignWithMargins="0">
    <oddHeader>&amp;C&amp;"Arial,Tučné"&amp;16Sběr 2008 - 2009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F25" sqref="F25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153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93" t="s">
        <v>71</v>
      </c>
      <c r="C2" s="94" t="s">
        <v>4</v>
      </c>
      <c r="D2" s="190">
        <f>240+30</f>
        <v>270</v>
      </c>
      <c r="E2" s="59">
        <f>94+100</f>
        <v>194</v>
      </c>
      <c r="F2" s="217">
        <v>80</v>
      </c>
      <c r="G2" s="163"/>
      <c r="H2" s="142">
        <f>SUM(D2:G2)</f>
        <v>544</v>
      </c>
    </row>
    <row r="3" spans="1:8" ht="19.5" customHeight="1">
      <c r="A3" s="100">
        <v>2</v>
      </c>
      <c r="B3" s="95" t="s">
        <v>390</v>
      </c>
      <c r="C3" s="96" t="s">
        <v>391</v>
      </c>
      <c r="D3" s="188">
        <v>200</v>
      </c>
      <c r="E3" s="60">
        <v>180</v>
      </c>
      <c r="F3" s="215">
        <v>200</v>
      </c>
      <c r="G3" s="161"/>
      <c r="H3" s="143">
        <f aca="true" t="shared" si="0" ref="H3:H24">SUM(D3:G3)</f>
        <v>580</v>
      </c>
    </row>
    <row r="4" spans="1:8" ht="19.5" customHeight="1">
      <c r="A4" s="106">
        <v>3</v>
      </c>
      <c r="B4" s="95" t="s">
        <v>72</v>
      </c>
      <c r="C4" s="96" t="s">
        <v>24</v>
      </c>
      <c r="D4" s="12">
        <v>52</v>
      </c>
      <c r="E4" s="60">
        <v>0</v>
      </c>
      <c r="F4" s="47">
        <v>0</v>
      </c>
      <c r="G4" s="161"/>
      <c r="H4" s="143">
        <f t="shared" si="0"/>
        <v>52</v>
      </c>
    </row>
    <row r="5" spans="1:8" ht="19.5" customHeight="1">
      <c r="A5" s="100">
        <v>4</v>
      </c>
      <c r="B5" s="95" t="s">
        <v>73</v>
      </c>
      <c r="C5" s="96" t="s">
        <v>17</v>
      </c>
      <c r="D5" s="12">
        <v>30</v>
      </c>
      <c r="E5" s="60">
        <v>0</v>
      </c>
      <c r="F5" s="47">
        <v>30</v>
      </c>
      <c r="G5" s="161"/>
      <c r="H5" s="143">
        <f t="shared" si="0"/>
        <v>60</v>
      </c>
    </row>
    <row r="6" spans="1:8" ht="19.5" customHeight="1">
      <c r="A6" s="106">
        <v>5</v>
      </c>
      <c r="B6" s="95" t="s">
        <v>74</v>
      </c>
      <c r="C6" s="96" t="s">
        <v>17</v>
      </c>
      <c r="D6" s="12">
        <v>8</v>
      </c>
      <c r="E6" s="60">
        <v>0</v>
      </c>
      <c r="F6" s="47">
        <v>10</v>
      </c>
      <c r="G6" s="161"/>
      <c r="H6" s="143">
        <f t="shared" si="0"/>
        <v>18</v>
      </c>
    </row>
    <row r="7" spans="1:8" ht="19.5" customHeight="1">
      <c r="A7" s="100">
        <v>6</v>
      </c>
      <c r="B7" s="95" t="s">
        <v>75</v>
      </c>
      <c r="C7" s="96" t="s">
        <v>76</v>
      </c>
      <c r="D7" s="12">
        <v>95</v>
      </c>
      <c r="E7" s="60">
        <v>190</v>
      </c>
      <c r="F7" s="47">
        <v>100</v>
      </c>
      <c r="G7" s="161"/>
      <c r="H7" s="143">
        <f t="shared" si="0"/>
        <v>385</v>
      </c>
    </row>
    <row r="8" spans="1:8" ht="19.5" customHeight="1">
      <c r="A8" s="106">
        <v>7</v>
      </c>
      <c r="B8" s="95" t="s">
        <v>77</v>
      </c>
      <c r="C8" s="96" t="s">
        <v>41</v>
      </c>
      <c r="D8" s="12">
        <v>18</v>
      </c>
      <c r="E8" s="60">
        <v>0</v>
      </c>
      <c r="F8" s="47">
        <v>0</v>
      </c>
      <c r="G8" s="161"/>
      <c r="H8" s="143">
        <f t="shared" si="0"/>
        <v>18</v>
      </c>
    </row>
    <row r="9" spans="1:8" ht="19.5" customHeight="1">
      <c r="A9" s="100">
        <v>8</v>
      </c>
      <c r="B9" s="95" t="s">
        <v>78</v>
      </c>
      <c r="C9" s="96" t="s">
        <v>4</v>
      </c>
      <c r="D9" s="12">
        <f>75+84+62+105+29</f>
        <v>355</v>
      </c>
      <c r="E9" s="60">
        <f>105+10</f>
        <v>115</v>
      </c>
      <c r="F9" s="47">
        <f>97+104+45</f>
        <v>246</v>
      </c>
      <c r="G9" s="161"/>
      <c r="H9" s="143">
        <f t="shared" si="0"/>
        <v>716</v>
      </c>
    </row>
    <row r="10" spans="1:8" ht="19.5" customHeight="1">
      <c r="A10" s="106">
        <v>9</v>
      </c>
      <c r="B10" s="95" t="s">
        <v>79</v>
      </c>
      <c r="C10" s="96" t="s">
        <v>80</v>
      </c>
      <c r="D10" s="12">
        <v>50</v>
      </c>
      <c r="E10" s="60">
        <v>0</v>
      </c>
      <c r="F10" s="47">
        <v>3</v>
      </c>
      <c r="G10" s="161"/>
      <c r="H10" s="143">
        <f t="shared" si="0"/>
        <v>53</v>
      </c>
    </row>
    <row r="11" spans="1:8" ht="19.5" customHeight="1">
      <c r="A11" s="100">
        <v>10</v>
      </c>
      <c r="B11" s="95" t="s">
        <v>81</v>
      </c>
      <c r="C11" s="96" t="s">
        <v>4</v>
      </c>
      <c r="D11" s="12">
        <f>75+101+92</f>
        <v>268</v>
      </c>
      <c r="E11" s="60">
        <v>49</v>
      </c>
      <c r="F11" s="47">
        <v>0</v>
      </c>
      <c r="G11" s="161"/>
      <c r="H11" s="143">
        <f t="shared" si="0"/>
        <v>317</v>
      </c>
    </row>
    <row r="12" spans="1:8" ht="19.5" customHeight="1">
      <c r="A12" s="106">
        <v>11</v>
      </c>
      <c r="B12" s="95" t="s">
        <v>82</v>
      </c>
      <c r="C12" s="96" t="s">
        <v>59</v>
      </c>
      <c r="D12" s="12">
        <f>50+16</f>
        <v>66</v>
      </c>
      <c r="E12" s="60">
        <v>8</v>
      </c>
      <c r="F12" s="47">
        <v>0</v>
      </c>
      <c r="G12" s="161"/>
      <c r="H12" s="143">
        <f t="shared" si="0"/>
        <v>74</v>
      </c>
    </row>
    <row r="13" spans="1:8" ht="19.5" customHeight="1">
      <c r="A13" s="100">
        <v>12</v>
      </c>
      <c r="B13" s="95" t="s">
        <v>16</v>
      </c>
      <c r="C13" s="96" t="s">
        <v>83</v>
      </c>
      <c r="D13" s="12">
        <v>41</v>
      </c>
      <c r="E13" s="60">
        <v>0</v>
      </c>
      <c r="F13" s="47">
        <f>8+49+5</f>
        <v>62</v>
      </c>
      <c r="G13" s="161"/>
      <c r="H13" s="143">
        <f t="shared" si="0"/>
        <v>103</v>
      </c>
    </row>
    <row r="14" spans="1:8" ht="19.5" customHeight="1">
      <c r="A14" s="106">
        <v>13</v>
      </c>
      <c r="B14" s="95" t="s">
        <v>84</v>
      </c>
      <c r="C14" s="96" t="s">
        <v>85</v>
      </c>
      <c r="D14" s="12">
        <v>5</v>
      </c>
      <c r="E14" s="60">
        <v>0</v>
      </c>
      <c r="F14" s="47">
        <v>2</v>
      </c>
      <c r="G14" s="161"/>
      <c r="H14" s="143">
        <f t="shared" si="0"/>
        <v>7</v>
      </c>
    </row>
    <row r="15" spans="1:8" ht="19.5" customHeight="1">
      <c r="A15" s="100">
        <v>14</v>
      </c>
      <c r="B15" s="95" t="s">
        <v>86</v>
      </c>
      <c r="C15" s="96" t="s">
        <v>31</v>
      </c>
      <c r="D15" s="12">
        <v>0</v>
      </c>
      <c r="E15" s="60">
        <v>0</v>
      </c>
      <c r="F15" s="47">
        <v>0</v>
      </c>
      <c r="G15" s="161"/>
      <c r="H15" s="143">
        <f t="shared" si="0"/>
        <v>0</v>
      </c>
    </row>
    <row r="16" spans="1:8" ht="19.5" customHeight="1">
      <c r="A16" s="106">
        <v>15</v>
      </c>
      <c r="B16" s="95" t="s">
        <v>87</v>
      </c>
      <c r="C16" s="96" t="s">
        <v>88</v>
      </c>
      <c r="D16" s="12">
        <v>14</v>
      </c>
      <c r="E16" s="60">
        <v>5</v>
      </c>
      <c r="F16" s="47">
        <v>9</v>
      </c>
      <c r="G16" s="161"/>
      <c r="H16" s="143">
        <f t="shared" si="0"/>
        <v>28</v>
      </c>
    </row>
    <row r="17" spans="1:8" ht="19.5" customHeight="1">
      <c r="A17" s="100">
        <v>16</v>
      </c>
      <c r="B17" s="95" t="s">
        <v>89</v>
      </c>
      <c r="C17" s="96" t="s">
        <v>90</v>
      </c>
      <c r="D17" s="12">
        <v>29</v>
      </c>
      <c r="E17" s="60">
        <v>0</v>
      </c>
      <c r="F17" s="47">
        <v>14</v>
      </c>
      <c r="G17" s="161"/>
      <c r="H17" s="143">
        <f t="shared" si="0"/>
        <v>43</v>
      </c>
    </row>
    <row r="18" spans="1:8" ht="19.5" customHeight="1">
      <c r="A18" s="106">
        <v>17</v>
      </c>
      <c r="B18" s="95" t="s">
        <v>91</v>
      </c>
      <c r="C18" s="96" t="s">
        <v>41</v>
      </c>
      <c r="D18" s="12">
        <v>13</v>
      </c>
      <c r="E18" s="60">
        <v>4</v>
      </c>
      <c r="F18" s="47">
        <v>0</v>
      </c>
      <c r="G18" s="161"/>
      <c r="H18" s="143">
        <f t="shared" si="0"/>
        <v>17</v>
      </c>
    </row>
    <row r="19" spans="1:8" ht="19.5" customHeight="1">
      <c r="A19" s="100">
        <v>18</v>
      </c>
      <c r="B19" s="95" t="s">
        <v>92</v>
      </c>
      <c r="C19" s="96" t="s">
        <v>66</v>
      </c>
      <c r="D19" s="12">
        <v>0</v>
      </c>
      <c r="E19" s="60">
        <v>9</v>
      </c>
      <c r="F19" s="47">
        <v>0</v>
      </c>
      <c r="G19" s="161"/>
      <c r="H19" s="143">
        <f t="shared" si="0"/>
        <v>9</v>
      </c>
    </row>
    <row r="20" spans="1:8" ht="19.5" customHeight="1">
      <c r="A20" s="106">
        <v>19</v>
      </c>
      <c r="B20" s="95" t="s">
        <v>93</v>
      </c>
      <c r="C20" s="96" t="s">
        <v>24</v>
      </c>
      <c r="D20" s="12">
        <v>10</v>
      </c>
      <c r="E20" s="60">
        <v>12</v>
      </c>
      <c r="F20" s="47">
        <v>20</v>
      </c>
      <c r="G20" s="161"/>
      <c r="H20" s="143">
        <f t="shared" si="0"/>
        <v>42</v>
      </c>
    </row>
    <row r="21" spans="1:8" ht="19.5" customHeight="1">
      <c r="A21" s="100">
        <v>20</v>
      </c>
      <c r="B21" s="95" t="s">
        <v>94</v>
      </c>
      <c r="C21" s="96" t="s">
        <v>23</v>
      </c>
      <c r="D21" s="12">
        <v>23</v>
      </c>
      <c r="E21" s="60">
        <v>11</v>
      </c>
      <c r="F21" s="47">
        <v>29</v>
      </c>
      <c r="G21" s="161"/>
      <c r="H21" s="143">
        <f t="shared" si="0"/>
        <v>63</v>
      </c>
    </row>
    <row r="22" spans="1:8" ht="19.5" customHeight="1">
      <c r="A22" s="106">
        <v>21</v>
      </c>
      <c r="B22" s="95" t="s">
        <v>96</v>
      </c>
      <c r="C22" s="96" t="s">
        <v>97</v>
      </c>
      <c r="D22" s="12">
        <v>38</v>
      </c>
      <c r="E22" s="60">
        <v>57</v>
      </c>
      <c r="F22" s="47">
        <v>9</v>
      </c>
      <c r="G22" s="161"/>
      <c r="H22" s="143">
        <f t="shared" si="0"/>
        <v>104</v>
      </c>
    </row>
    <row r="23" spans="1:8" ht="19.5" customHeight="1">
      <c r="A23" s="100">
        <v>22</v>
      </c>
      <c r="B23" s="95" t="s">
        <v>98</v>
      </c>
      <c r="C23" s="96" t="s">
        <v>99</v>
      </c>
      <c r="D23" s="13">
        <v>4</v>
      </c>
      <c r="E23" s="62">
        <v>0</v>
      </c>
      <c r="F23" s="48">
        <v>0</v>
      </c>
      <c r="G23" s="166"/>
      <c r="H23" s="143">
        <f t="shared" si="0"/>
        <v>4</v>
      </c>
    </row>
    <row r="24" spans="1:8" ht="19.5" customHeight="1" thickBot="1">
      <c r="A24" s="105">
        <v>23</v>
      </c>
      <c r="B24" s="97" t="s">
        <v>100</v>
      </c>
      <c r="C24" s="98" t="s">
        <v>55</v>
      </c>
      <c r="D24" s="14">
        <v>6</v>
      </c>
      <c r="E24" s="61">
        <v>0</v>
      </c>
      <c r="F24" s="51">
        <v>0</v>
      </c>
      <c r="G24" s="162"/>
      <c r="H24" s="144">
        <f t="shared" si="0"/>
        <v>6</v>
      </c>
    </row>
    <row r="25" spans="1:8" s="147" customFormat="1" ht="15.75">
      <c r="A25" s="155"/>
      <c r="B25" s="151" t="s">
        <v>457</v>
      </c>
      <c r="D25" s="148"/>
      <c r="E25" s="150"/>
      <c r="F25" s="150"/>
      <c r="G25" s="150"/>
      <c r="H25" s="148">
        <f>SUM(D25:G25)</f>
        <v>0</v>
      </c>
    </row>
    <row r="26" spans="4:7" ht="15.75" thickBot="1">
      <c r="D26" s="18"/>
      <c r="E26" s="49"/>
      <c r="F26" s="49"/>
      <c r="G26" s="49"/>
    </row>
    <row r="27" spans="1:8" s="53" customFormat="1" ht="16.5" thickBot="1">
      <c r="A27" s="52"/>
      <c r="B27" s="172" t="s">
        <v>351</v>
      </c>
      <c r="D27" s="19">
        <f>SUM(D2:D26)</f>
        <v>1595</v>
      </c>
      <c r="E27" s="19">
        <f>SUM(E2:E24)</f>
        <v>834</v>
      </c>
      <c r="F27" s="50">
        <f>SUM(F2:F24)</f>
        <v>814</v>
      </c>
      <c r="G27" s="50">
        <f>SUM(G2:G25)</f>
        <v>0</v>
      </c>
      <c r="H27" s="171">
        <f>SUM(H2:H25)</f>
        <v>3243</v>
      </c>
    </row>
    <row r="28" spans="5:7" ht="12.75">
      <c r="E28" s="15"/>
      <c r="G28" s="15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87" r:id="rId1"/>
  <headerFooter alignWithMargins="0">
    <oddHeader>&amp;C&amp;"Arial,Tučné"&amp;16Sběr 2008 - 2009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F23" sqref="F23"/>
    </sheetView>
  </sheetViews>
  <sheetFormatPr defaultColWidth="9.140625" defaultRowHeight="12.75"/>
  <cols>
    <col min="1" max="1" width="5.140625" style="2" customWidth="1"/>
    <col min="2" max="3" width="15.7109375" style="0" customWidth="1"/>
    <col min="4" max="5" width="12.7109375" style="1" customWidth="1"/>
    <col min="6" max="6" width="12.7109375" style="0" customWidth="1"/>
    <col min="7" max="7" width="12.7109375" style="1" customWidth="1"/>
    <col min="8" max="8" width="15.7109375" style="0" customWidth="1"/>
  </cols>
  <sheetData>
    <row r="1" spans="1:8" ht="24.75" customHeight="1" thickBot="1">
      <c r="A1" s="3" t="s">
        <v>408</v>
      </c>
      <c r="B1" s="10" t="s">
        <v>349</v>
      </c>
      <c r="C1" s="4" t="s">
        <v>350</v>
      </c>
      <c r="D1" s="140" t="s">
        <v>409</v>
      </c>
      <c r="E1" s="140" t="s">
        <v>463</v>
      </c>
      <c r="F1" s="208" t="s">
        <v>483</v>
      </c>
      <c r="G1" s="45"/>
      <c r="H1" s="141" t="s">
        <v>405</v>
      </c>
    </row>
    <row r="2" spans="1:8" ht="19.5" customHeight="1">
      <c r="A2" s="99">
        <v>1</v>
      </c>
      <c r="B2" s="107" t="s">
        <v>102</v>
      </c>
      <c r="C2" s="108" t="s">
        <v>66</v>
      </c>
      <c r="D2" s="11">
        <v>27</v>
      </c>
      <c r="E2" s="59">
        <f>30+4</f>
        <v>34</v>
      </c>
      <c r="F2" s="46">
        <v>0</v>
      </c>
      <c r="G2" s="163"/>
      <c r="H2" s="142">
        <f>SUM(D2:G2)</f>
        <v>61</v>
      </c>
    </row>
    <row r="3" spans="1:8" ht="19.5" customHeight="1">
      <c r="A3" s="100">
        <v>2</v>
      </c>
      <c r="B3" s="109" t="s">
        <v>103</v>
      </c>
      <c r="C3" s="110" t="s">
        <v>53</v>
      </c>
      <c r="D3" s="12">
        <v>95</v>
      </c>
      <c r="E3" s="60">
        <v>9</v>
      </c>
      <c r="F3" s="47">
        <v>72</v>
      </c>
      <c r="G3" s="161"/>
      <c r="H3" s="143">
        <f aca="true" t="shared" si="0" ref="H3:H22">SUM(D3:G3)</f>
        <v>176</v>
      </c>
    </row>
    <row r="4" spans="1:8" ht="19.5" customHeight="1">
      <c r="A4" s="106">
        <v>3</v>
      </c>
      <c r="B4" s="109" t="s">
        <v>104</v>
      </c>
      <c r="C4" s="110" t="s">
        <v>4</v>
      </c>
      <c r="D4" s="12">
        <v>18</v>
      </c>
      <c r="E4" s="60">
        <v>9</v>
      </c>
      <c r="F4" s="47">
        <v>7</v>
      </c>
      <c r="G4" s="161"/>
      <c r="H4" s="143">
        <f t="shared" si="0"/>
        <v>34</v>
      </c>
    </row>
    <row r="5" spans="1:8" ht="19.5" customHeight="1">
      <c r="A5" s="100">
        <v>4</v>
      </c>
      <c r="B5" s="109" t="s">
        <v>105</v>
      </c>
      <c r="C5" s="110" t="s">
        <v>70</v>
      </c>
      <c r="D5" s="12">
        <v>0</v>
      </c>
      <c r="E5" s="60">
        <v>1</v>
      </c>
      <c r="F5" s="47">
        <v>0</v>
      </c>
      <c r="G5" s="161"/>
      <c r="H5" s="143">
        <f t="shared" si="0"/>
        <v>1</v>
      </c>
    </row>
    <row r="6" spans="1:8" ht="19.5" customHeight="1">
      <c r="A6" s="106">
        <v>5</v>
      </c>
      <c r="B6" s="109" t="s">
        <v>106</v>
      </c>
      <c r="C6" s="110" t="s">
        <v>97</v>
      </c>
      <c r="D6" s="12">
        <v>47</v>
      </c>
      <c r="E6" s="60">
        <v>0</v>
      </c>
      <c r="F6" s="47">
        <v>8</v>
      </c>
      <c r="G6" s="161"/>
      <c r="H6" s="143">
        <f t="shared" si="0"/>
        <v>55</v>
      </c>
    </row>
    <row r="7" spans="1:8" ht="19.5" customHeight="1">
      <c r="A7" s="100">
        <v>6</v>
      </c>
      <c r="B7" s="109" t="s">
        <v>107</v>
      </c>
      <c r="C7" s="110" t="s">
        <v>55</v>
      </c>
      <c r="D7" s="12">
        <v>0</v>
      </c>
      <c r="E7" s="60">
        <v>0</v>
      </c>
      <c r="F7" s="47">
        <v>0</v>
      </c>
      <c r="G7" s="161"/>
      <c r="H7" s="143">
        <f t="shared" si="0"/>
        <v>0</v>
      </c>
    </row>
    <row r="8" spans="1:8" ht="19.5" customHeight="1">
      <c r="A8" s="106">
        <v>7</v>
      </c>
      <c r="B8" s="109" t="s">
        <v>128</v>
      </c>
      <c r="C8" s="110" t="s">
        <v>97</v>
      </c>
      <c r="D8" s="12">
        <v>3</v>
      </c>
      <c r="E8" s="60">
        <v>9</v>
      </c>
      <c r="F8" s="47">
        <v>8</v>
      </c>
      <c r="G8" s="161"/>
      <c r="H8" s="143">
        <f t="shared" si="0"/>
        <v>20</v>
      </c>
    </row>
    <row r="9" spans="1:8" ht="19.5" customHeight="1">
      <c r="A9" s="100">
        <v>8</v>
      </c>
      <c r="B9" s="109" t="s">
        <v>108</v>
      </c>
      <c r="C9" s="110" t="s">
        <v>44</v>
      </c>
      <c r="D9" s="12">
        <v>22</v>
      </c>
      <c r="E9" s="60">
        <v>20</v>
      </c>
      <c r="F9" s="47">
        <v>0</v>
      </c>
      <c r="G9" s="161"/>
      <c r="H9" s="143">
        <f t="shared" si="0"/>
        <v>42</v>
      </c>
    </row>
    <row r="10" spans="1:8" ht="19.5" customHeight="1">
      <c r="A10" s="106">
        <v>9</v>
      </c>
      <c r="B10" s="109" t="s">
        <v>109</v>
      </c>
      <c r="C10" s="110" t="s">
        <v>110</v>
      </c>
      <c r="D10" s="12">
        <v>21</v>
      </c>
      <c r="E10" s="60">
        <v>0</v>
      </c>
      <c r="F10" s="47">
        <v>0</v>
      </c>
      <c r="G10" s="161"/>
      <c r="H10" s="143">
        <f t="shared" si="0"/>
        <v>21</v>
      </c>
    </row>
    <row r="11" spans="1:8" ht="19.5" customHeight="1">
      <c r="A11" s="100">
        <v>10</v>
      </c>
      <c r="B11" s="109" t="s">
        <v>82</v>
      </c>
      <c r="C11" s="110" t="s">
        <v>41</v>
      </c>
      <c r="D11" s="12">
        <f>18+40</f>
        <v>58</v>
      </c>
      <c r="E11" s="60">
        <v>27</v>
      </c>
      <c r="F11" s="47">
        <v>19</v>
      </c>
      <c r="G11" s="161"/>
      <c r="H11" s="143">
        <f t="shared" si="0"/>
        <v>104</v>
      </c>
    </row>
    <row r="12" spans="1:8" ht="19.5" customHeight="1">
      <c r="A12" s="106">
        <v>11</v>
      </c>
      <c r="B12" s="109" t="s">
        <v>111</v>
      </c>
      <c r="C12" s="110" t="s">
        <v>88</v>
      </c>
      <c r="D12" s="12">
        <v>16</v>
      </c>
      <c r="E12" s="60">
        <v>0</v>
      </c>
      <c r="F12" s="47">
        <v>74</v>
      </c>
      <c r="G12" s="161"/>
      <c r="H12" s="143">
        <f t="shared" si="0"/>
        <v>90</v>
      </c>
    </row>
    <row r="13" spans="1:8" ht="19.5" customHeight="1">
      <c r="A13" s="100">
        <v>12</v>
      </c>
      <c r="B13" s="109" t="s">
        <v>112</v>
      </c>
      <c r="C13" s="110" t="s">
        <v>50</v>
      </c>
      <c r="D13" s="12">
        <v>66</v>
      </c>
      <c r="E13" s="60">
        <f>22+12</f>
        <v>34</v>
      </c>
      <c r="F13" s="47">
        <v>0</v>
      </c>
      <c r="G13" s="161"/>
      <c r="H13" s="143">
        <f t="shared" si="0"/>
        <v>100</v>
      </c>
    </row>
    <row r="14" spans="1:8" ht="19.5" customHeight="1">
      <c r="A14" s="106">
        <v>13</v>
      </c>
      <c r="B14" s="109" t="s">
        <v>113</v>
      </c>
      <c r="C14" s="110" t="s">
        <v>114</v>
      </c>
      <c r="D14" s="188">
        <v>50</v>
      </c>
      <c r="E14" s="60">
        <v>33</v>
      </c>
      <c r="F14" s="215">
        <v>60</v>
      </c>
      <c r="G14" s="161"/>
      <c r="H14" s="143">
        <f t="shared" si="0"/>
        <v>143</v>
      </c>
    </row>
    <row r="15" spans="1:8" ht="19.5" customHeight="1">
      <c r="A15" s="100">
        <v>14</v>
      </c>
      <c r="B15" s="109" t="s">
        <v>115</v>
      </c>
      <c r="C15" s="110" t="s">
        <v>116</v>
      </c>
      <c r="D15" s="12">
        <v>3</v>
      </c>
      <c r="E15" s="60">
        <v>0</v>
      </c>
      <c r="F15" s="47">
        <v>0</v>
      </c>
      <c r="G15" s="161"/>
      <c r="H15" s="143">
        <f t="shared" si="0"/>
        <v>3</v>
      </c>
    </row>
    <row r="16" spans="1:8" ht="19.5" customHeight="1">
      <c r="A16" s="106">
        <v>15</v>
      </c>
      <c r="B16" s="109" t="s">
        <v>450</v>
      </c>
      <c r="C16" s="110" t="s">
        <v>451</v>
      </c>
      <c r="D16" s="12">
        <v>0</v>
      </c>
      <c r="E16" s="60">
        <v>0</v>
      </c>
      <c r="F16" s="47">
        <v>0</v>
      </c>
      <c r="G16" s="161"/>
      <c r="H16" s="143">
        <f t="shared" si="0"/>
        <v>0</v>
      </c>
    </row>
    <row r="17" spans="1:8" ht="19.5" customHeight="1">
      <c r="A17" s="100">
        <v>16</v>
      </c>
      <c r="B17" s="109" t="s">
        <v>392</v>
      </c>
      <c r="C17" s="110" t="s">
        <v>393</v>
      </c>
      <c r="D17" s="12">
        <v>6</v>
      </c>
      <c r="E17" s="60">
        <v>0</v>
      </c>
      <c r="F17" s="47">
        <v>16</v>
      </c>
      <c r="G17" s="161"/>
      <c r="H17" s="143">
        <f t="shared" si="0"/>
        <v>22</v>
      </c>
    </row>
    <row r="18" spans="1:8" ht="19.5" customHeight="1">
      <c r="A18" s="106">
        <v>17</v>
      </c>
      <c r="B18" s="109" t="s">
        <v>117</v>
      </c>
      <c r="C18" s="110" t="s">
        <v>118</v>
      </c>
      <c r="D18" s="12">
        <v>38</v>
      </c>
      <c r="E18" s="60">
        <v>68</v>
      </c>
      <c r="F18" s="47">
        <v>37</v>
      </c>
      <c r="G18" s="161"/>
      <c r="H18" s="143">
        <f t="shared" si="0"/>
        <v>143</v>
      </c>
    </row>
    <row r="19" spans="1:8" ht="19.5" customHeight="1">
      <c r="A19" s="100">
        <v>18</v>
      </c>
      <c r="B19" s="109" t="s">
        <v>119</v>
      </c>
      <c r="C19" s="110" t="s">
        <v>70</v>
      </c>
      <c r="D19" s="12">
        <v>0</v>
      </c>
      <c r="E19" s="60">
        <v>0</v>
      </c>
      <c r="F19" s="47">
        <v>0</v>
      </c>
      <c r="G19" s="161"/>
      <c r="H19" s="143">
        <f t="shared" si="0"/>
        <v>0</v>
      </c>
    </row>
    <row r="20" spans="1:8" ht="19.5" customHeight="1">
      <c r="A20" s="106">
        <v>19</v>
      </c>
      <c r="B20" s="109" t="s">
        <v>120</v>
      </c>
      <c r="C20" s="110" t="s">
        <v>121</v>
      </c>
      <c r="D20" s="12">
        <v>28</v>
      </c>
      <c r="E20" s="60">
        <v>0</v>
      </c>
      <c r="F20" s="47">
        <v>8</v>
      </c>
      <c r="G20" s="161"/>
      <c r="H20" s="143">
        <f t="shared" si="0"/>
        <v>36</v>
      </c>
    </row>
    <row r="21" spans="1:8" ht="19.5" customHeight="1">
      <c r="A21" s="106">
        <v>20</v>
      </c>
      <c r="B21" s="109" t="s">
        <v>122</v>
      </c>
      <c r="C21" s="110" t="s">
        <v>85</v>
      </c>
      <c r="D21" s="13">
        <v>160</v>
      </c>
      <c r="E21" s="62">
        <v>120</v>
      </c>
      <c r="F21" s="48">
        <v>100</v>
      </c>
      <c r="G21" s="166"/>
      <c r="H21" s="143">
        <f t="shared" si="0"/>
        <v>380</v>
      </c>
    </row>
    <row r="22" spans="1:8" ht="19.5" customHeight="1" thickBot="1">
      <c r="A22" s="105">
        <v>21</v>
      </c>
      <c r="B22" s="111" t="s">
        <v>123</v>
      </c>
      <c r="C22" s="112" t="s">
        <v>85</v>
      </c>
      <c r="D22" s="14">
        <v>0</v>
      </c>
      <c r="E22" s="61">
        <v>13</v>
      </c>
      <c r="F22" s="51">
        <v>14</v>
      </c>
      <c r="G22" s="162"/>
      <c r="H22" s="144">
        <f t="shared" si="0"/>
        <v>27</v>
      </c>
    </row>
    <row r="23" spans="1:8" s="147" customFormat="1" ht="15.75">
      <c r="A23" s="156"/>
      <c r="B23" s="151" t="s">
        <v>457</v>
      </c>
      <c r="D23" s="148"/>
      <c r="E23" s="152"/>
      <c r="F23" s="150"/>
      <c r="G23" s="150"/>
      <c r="H23" s="148">
        <f>SUM(D23:G23)</f>
        <v>0</v>
      </c>
    </row>
    <row r="24" spans="4:7" ht="15.75" thickBot="1">
      <c r="D24" s="17"/>
      <c r="E24" s="15"/>
      <c r="F24" s="49"/>
      <c r="G24" s="49"/>
    </row>
    <row r="25" spans="1:8" s="53" customFormat="1" ht="16.5" thickBot="1">
      <c r="A25" s="52"/>
      <c r="B25" s="172" t="s">
        <v>351</v>
      </c>
      <c r="D25" s="19">
        <f>SUM(D2:D24)</f>
        <v>658</v>
      </c>
      <c r="E25" s="19">
        <f>SUM(E2:E22)</f>
        <v>377</v>
      </c>
      <c r="F25" s="50">
        <f>SUM(F2:F22)</f>
        <v>423</v>
      </c>
      <c r="G25" s="50">
        <f>SUM(G2:G23)</f>
        <v>0</v>
      </c>
      <c r="H25" s="171">
        <f>SUM(H2:H23)</f>
        <v>1458</v>
      </c>
    </row>
    <row r="28" spans="5:6" ht="12.75">
      <c r="E28" s="15"/>
      <c r="F28" t="s">
        <v>397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scale="84" r:id="rId1"/>
  <headerFooter alignWithMargins="0">
    <oddHeader>&amp;C&amp;"Arial,Tučné"&amp;16Sběr 2008 - 2009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2009-03-25T08:20:52Z</cp:lastPrinted>
  <dcterms:created xsi:type="dcterms:W3CDTF">1997-01-24T11:07:25Z</dcterms:created>
  <dcterms:modified xsi:type="dcterms:W3CDTF">2009-03-27T08:40:55Z</dcterms:modified>
  <cp:category/>
  <cp:version/>
  <cp:contentType/>
  <cp:contentStatus/>
</cp:coreProperties>
</file>